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Default Extension="rels" ContentType="application/vnd.openxmlformats-package.relationships+xml"/>
  <Default Extension="wmf" ContentType="image/x-wmf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655" windowHeight="9495" tabRatio="886" firstSheet="29" activeTab="49"/>
  </bookViews>
  <sheets>
    <sheet name="-------" sheetId="138" state="hidden" r:id="rId1"/>
    <sheet name="全市指标1" sheetId="209" r:id="rId2"/>
    <sheet name="全市指标2" sheetId="210" r:id="rId3"/>
    <sheet name="GDP" sheetId="139" r:id="rId4"/>
    <sheet name="农业" sheetId="145" r:id="rId5"/>
    <sheet name="工业1" sheetId="125" r:id="rId6"/>
    <sheet name="工业2" sheetId="173" r:id="rId7"/>
    <sheet name="工业经济效益" sheetId="9" r:id="rId8"/>
    <sheet name="分行业工业总产值1" sheetId="162" r:id="rId9"/>
    <sheet name="分行业工业总产值2" sheetId="163" r:id="rId10"/>
    <sheet name="主要工业产品产量1" sheetId="160" r:id="rId11"/>
    <sheet name="主要工业产品产量2 " sheetId="161" r:id="rId12"/>
    <sheet name="主要工业产品产量3" sheetId="177" r:id="rId13"/>
    <sheet name="工业综合能源消费量" sheetId="174" r:id="rId14"/>
    <sheet name="交通 " sheetId="98" r:id="rId15"/>
    <sheet name="投资" sheetId="68" r:id="rId16"/>
    <sheet name="国内贸易" sheetId="11" r:id="rId17"/>
    <sheet name="财税" sheetId="23" r:id="rId18"/>
    <sheet name="金融" sheetId="146" r:id="rId19"/>
    <sheet name="进出口" sheetId="124" r:id="rId20"/>
    <sheet name="居民收支" sheetId="99" r:id="rId21"/>
    <sheet name="消价" sheetId="42" r:id="rId22"/>
    <sheet name="分县1" sheetId="100" r:id="rId23"/>
    <sheet name="分县2" sheetId="149" r:id="rId24"/>
    <sheet name="分县3" sheetId="181" r:id="rId25"/>
    <sheet name="分县4" sheetId="167" r:id="rId26"/>
    <sheet name="分县5" sheetId="182" r:id="rId27"/>
    <sheet name="分县6" sheetId="101" r:id="rId28"/>
    <sheet name="分县7" sheetId="183" r:id="rId29"/>
    <sheet name="分县8" sheetId="166" r:id="rId30"/>
    <sheet name="分县9" sheetId="165" r:id="rId31"/>
    <sheet name="分县10" sheetId="171" r:id="rId32"/>
    <sheet name="分县11" sheetId="184" r:id="rId33"/>
    <sheet name="分县12" sheetId="170" r:id="rId34"/>
    <sheet name="分县13" sheetId="193" r:id="rId35"/>
    <sheet name="分县14" sheetId="185" r:id="rId36"/>
    <sheet name="分县15" sheetId="172" r:id="rId37"/>
    <sheet name="分县16" sheetId="127" r:id="rId38"/>
    <sheet name="分县17" sheetId="147" r:id="rId39"/>
    <sheet name="分县18" sheetId="186" r:id="rId40"/>
    <sheet name="分县19" sheetId="211" r:id="rId41"/>
    <sheet name="分市5（旧）" sheetId="194" state="hidden" r:id="rId42"/>
    <sheet name="工业序列（原）" sheetId="158" state="hidden" r:id="rId43"/>
    <sheet name="工业序列" sheetId="199" r:id="rId44"/>
    <sheet name="投资序列" sheetId="200" r:id="rId45"/>
    <sheet name="消费序列" sheetId="201" r:id="rId46"/>
    <sheet name="进出口序列" sheetId="202" r:id="rId47"/>
    <sheet name="预算收入序列" sheetId="204" r:id="rId48"/>
    <sheet name="价格指数序列" sheetId="208" r:id="rId49"/>
    <sheet name="用电量序列" sheetId="205" r:id="rId50"/>
    <sheet name="投资序列(原)" sheetId="157" state="hidden" r:id="rId51"/>
    <sheet name="消费序列（原）" sheetId="156" state="hidden" r:id="rId52"/>
    <sheet name="出口序列（原）" sheetId="155" state="hidden" r:id="rId53"/>
    <sheet name="地方预算收入序列（原）" sheetId="154" state="hidden" r:id="rId54"/>
    <sheet name="工业用电量序列 （原）" sheetId="198" state="hidden" r:id="rId55"/>
    <sheet name="价格序列（原）" sheetId="153" state="hidden" r:id="rId56"/>
  </sheets>
  <externalReferences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</externalReferences>
  <definedNames>
    <definedName name="_21114" localSheetId="40">#REF!</definedName>
    <definedName name="_21114" localSheetId="54">#REF!</definedName>
    <definedName name="_21114" localSheetId="2">#REF!</definedName>
    <definedName name="_21114">#REF!</definedName>
    <definedName name="_Fill" localSheetId="40" hidden="1">[1]eqpmad2!#REF!</definedName>
    <definedName name="_Fill" localSheetId="54" hidden="1">[1]eqpmad2!#REF!</definedName>
    <definedName name="_Fill" localSheetId="2" hidden="1">[1]eqpmad2!#REF!</definedName>
    <definedName name="_Fill" hidden="1">[1]eqpmad2!#REF!</definedName>
    <definedName name="_xlnm._FilterDatabase" localSheetId="40" hidden="1">#REF!</definedName>
    <definedName name="_xlnm._FilterDatabase" localSheetId="54" hidden="1">#REF!</definedName>
    <definedName name="_xlnm._FilterDatabase" localSheetId="2" hidden="1">#REF!</definedName>
    <definedName name="_xlnm._FilterDatabase" hidden="1">#REF!</definedName>
    <definedName name="_Order1" hidden="1">255</definedName>
    <definedName name="_Order2" hidden="1">255</definedName>
    <definedName name="A" localSheetId="40">#REF!</definedName>
    <definedName name="A" localSheetId="54">#REF!</definedName>
    <definedName name="A" localSheetId="2">#REF!</definedName>
    <definedName name="A">#REF!</definedName>
    <definedName name="aa" localSheetId="40">#REF!</definedName>
    <definedName name="aa" localSheetId="54">#REF!</definedName>
    <definedName name="aa" localSheetId="2">#REF!</definedName>
    <definedName name="aa">#REF!</definedName>
    <definedName name="as">#N/A</definedName>
    <definedName name="data" localSheetId="40">#REF!</definedName>
    <definedName name="data" localSheetId="54">#REF!</definedName>
    <definedName name="data" localSheetId="2">#REF!</definedName>
    <definedName name="data">#REF!</definedName>
    <definedName name="_xlnm.Database" localSheetId="40" hidden="1">#REF!</definedName>
    <definedName name="_xlnm.Database" localSheetId="54" hidden="1">#REF!</definedName>
    <definedName name="_xlnm.Database" localSheetId="2" hidden="1">#REF!</definedName>
    <definedName name="_xlnm.Database" hidden="1">#REF!</definedName>
    <definedName name="database2" localSheetId="40">#REF!</definedName>
    <definedName name="database2" localSheetId="54">#REF!</definedName>
    <definedName name="database2" localSheetId="2">#REF!</definedName>
    <definedName name="database2">#REF!</definedName>
    <definedName name="database3" localSheetId="40">#REF!</definedName>
    <definedName name="database3" localSheetId="54">#REF!</definedName>
    <definedName name="database3" localSheetId="2">#REF!</definedName>
    <definedName name="database3">#REF!</definedName>
    <definedName name="dss" localSheetId="40" hidden="1">#REF!</definedName>
    <definedName name="dss" localSheetId="54" hidden="1">#REF!</definedName>
    <definedName name="dss" localSheetId="2" hidden="1">#REF!</definedName>
    <definedName name="dss" hidden="1">#REF!</definedName>
    <definedName name="E206." localSheetId="40">#REF!</definedName>
    <definedName name="E206." localSheetId="54">#REF!</definedName>
    <definedName name="E206." localSheetId="2">#REF!</definedName>
    <definedName name="E206.">#REF!</definedName>
    <definedName name="eee" localSheetId="40">#REF!</definedName>
    <definedName name="eee" localSheetId="54">#REF!</definedName>
    <definedName name="eee" localSheetId="2">#REF!</definedName>
    <definedName name="eee">#REF!</definedName>
    <definedName name="fff" localSheetId="40">#REF!</definedName>
    <definedName name="fff" localSheetId="54">#REF!</definedName>
    <definedName name="fff" localSheetId="2">#REF!</definedName>
    <definedName name="fff">#REF!</definedName>
    <definedName name="gxxe2003">[2]P1012001!$A$6:$E$117</definedName>
    <definedName name="gxxe20032">[2]P1012001!$A$6:$E$117</definedName>
    <definedName name="hhhh" localSheetId="40">#REF!</definedName>
    <definedName name="hhhh" localSheetId="54">#REF!</definedName>
    <definedName name="hhhh" localSheetId="2">#REF!</definedName>
    <definedName name="hhhh">#REF!</definedName>
    <definedName name="HWSheet">1</definedName>
    <definedName name="kkkk" localSheetId="40">#REF!</definedName>
    <definedName name="kkkk" localSheetId="54">#REF!</definedName>
    <definedName name="kkkk" localSheetId="2">#REF!</definedName>
    <definedName name="kkkk">#REF!</definedName>
    <definedName name="Module.Prix_SMC" localSheetId="32">[0]!Module.Prix_SMC</definedName>
    <definedName name="Module.Prix_SMC" localSheetId="35">分县11!Module.Prix_SMC</definedName>
    <definedName name="Module.Prix_SMC" localSheetId="37">分县16!Module.Prix_SMC</definedName>
    <definedName name="Module.Prix_SMC" localSheetId="39">分县11!Module.Prix_SMC</definedName>
    <definedName name="Module.Prix_SMC" localSheetId="40">#N/A</definedName>
    <definedName name="Module.Prix_SMC" localSheetId="24">分县11!Module.Prix_SMC</definedName>
    <definedName name="Module.Prix_SMC" localSheetId="26">分县11!Module.Prix_SMC</definedName>
    <definedName name="Module.Prix_SMC" localSheetId="28">分县11!Module.Prix_SMC</definedName>
    <definedName name="Module.Prix_SMC" localSheetId="5">工业1!Module.Prix_SMC</definedName>
    <definedName name="Module.Prix_SMC" localSheetId="48">分县11!Module.Prix_SMC</definedName>
    <definedName name="Module.Prix_SMC" localSheetId="19">进出口!Module.Prix_SMC</definedName>
    <definedName name="Module.Prix_SMC" localSheetId="46">分县11!Module.Prix_SMC</definedName>
    <definedName name="Module.Prix_SMC" localSheetId="44">分县11!Module.Prix_SMC</definedName>
    <definedName name="Module.Prix_SMC" localSheetId="45">分县11!Module.Prix_SMC</definedName>
    <definedName name="Module.Prix_SMC" localSheetId="49">分县11!Module.Prix_SMC</definedName>
    <definedName name="Module.Prix_SMC" localSheetId="47">分县11!Module.Prix_SMC</definedName>
    <definedName name="Module.Prix_SMC">分县11!Module.Prix_SMC</definedName>
    <definedName name="panduan">OR([3]Sheet!$G1="日期有误",[3]Sheet!$G1="请检查身份证号码",[3]Sheet!$G1="识别码有误")</definedName>
    <definedName name="_xlnm.Print_Area" localSheetId="31">分县10!$A$1:$D$27</definedName>
    <definedName name="_xlnm.Print_Area" localSheetId="32">分县11!$A$1:$D$27</definedName>
    <definedName name="_xlnm.Print_Area" localSheetId="35">分县14!$A$1:$D$27</definedName>
    <definedName name="_xlnm.Print_Area" localSheetId="36">分县15!$A$1:$D$27</definedName>
    <definedName name="_xlnm.Print_Area" localSheetId="38">分县17!$A$1:$D$27</definedName>
    <definedName name="_xlnm.Print_Area" localSheetId="39">分县18!$A$1:$D$27</definedName>
    <definedName name="_xlnm.Print_Area" localSheetId="40">分县19!$A$1:$D$28</definedName>
    <definedName name="_xlnm.Print_Area" localSheetId="23">分县2!$A$1:$D$27</definedName>
    <definedName name="_xlnm.Print_Area" localSheetId="24">分县3!$A$1:$D$28</definedName>
    <definedName name="_xlnm.Print_Area" localSheetId="27">分县6!$A$1:$D$28</definedName>
    <definedName name="_xlnm.Print_Area" localSheetId="28">分县7!$A$1:$D$27</definedName>
    <definedName name="_xlnm.Print_Area" localSheetId="29">分县8!$A$1:$D$27</definedName>
    <definedName name="_xlnm.Print_Area" localSheetId="30">分县9!$A$1:$D$27</definedName>
    <definedName name="_xlnm.Print_Area" localSheetId="5">工业1!$A$1:$E$22</definedName>
    <definedName name="_xlnm.Print_Area" localSheetId="54" hidden="1">#REF!</definedName>
    <definedName name="_xlnm.Print_Area" localSheetId="16">国内贸易!$A$1:$C$30</definedName>
    <definedName name="_xlnm.Print_Area" localSheetId="20">居民收支!$A$1:$AG$23</definedName>
    <definedName name="_xlnm.Print_Area" localSheetId="2" hidden="1">#REF!</definedName>
    <definedName name="_xlnm.Print_Area" localSheetId="15">投资!$A$1:$D$24</definedName>
    <definedName name="_xlnm.Print_Area" localSheetId="21">消价!$A$1:$C$21</definedName>
    <definedName name="_xlnm.Print_Area" hidden="1">#REF!</definedName>
    <definedName name="Print_Area_MI" localSheetId="40">#REF!</definedName>
    <definedName name="Print_Area_MI" localSheetId="54">#REF!</definedName>
    <definedName name="Print_Area_MI" localSheetId="2">#REF!</definedName>
    <definedName name="Print_Area_MI">#REF!</definedName>
    <definedName name="_xlnm.Print_Titles" hidden="1">#N/A</definedName>
    <definedName name="rrrr" localSheetId="40">#REF!</definedName>
    <definedName name="rrrr" localSheetId="54">#REF!</definedName>
    <definedName name="rrrr" localSheetId="2">#REF!</definedName>
    <definedName name="rrrr">#REF!</definedName>
    <definedName name="s" localSheetId="40">#REF!</definedName>
    <definedName name="s" localSheetId="54">#REF!</definedName>
    <definedName name="s" localSheetId="2">#REF!</definedName>
    <definedName name="s">#REF!</definedName>
    <definedName name="sfeggsafasfas" localSheetId="40">#REF!</definedName>
    <definedName name="sfeggsafasfas" localSheetId="54">#REF!</definedName>
    <definedName name="sfeggsafasfas" localSheetId="2">#REF!</definedName>
    <definedName name="sfeggsafasfas">#REF!</definedName>
    <definedName name="Sheet1" localSheetId="40">#REF!</definedName>
    <definedName name="Sheet1" localSheetId="54">#REF!</definedName>
    <definedName name="Sheet1" localSheetId="2">#REF!</definedName>
    <definedName name="Sheet1">#REF!</definedName>
    <definedName name="Sheet10" localSheetId="40">#REF!</definedName>
    <definedName name="Sheet10" localSheetId="54">#REF!</definedName>
    <definedName name="Sheet10" localSheetId="2">#REF!</definedName>
    <definedName name="Sheet10">#REF!</definedName>
    <definedName name="Sheet11" localSheetId="40">#REF!</definedName>
    <definedName name="Sheet11" localSheetId="54">#REF!</definedName>
    <definedName name="Sheet11" localSheetId="2">#REF!</definedName>
    <definedName name="Sheet11">#REF!</definedName>
    <definedName name="Sheet12" localSheetId="40">#REF!</definedName>
    <definedName name="Sheet12" localSheetId="54">#REF!</definedName>
    <definedName name="Sheet12" localSheetId="2">#REF!</definedName>
    <definedName name="Sheet12">#REF!</definedName>
    <definedName name="Sheet3" localSheetId="40">#REF!</definedName>
    <definedName name="Sheet3" localSheetId="54">#REF!</definedName>
    <definedName name="Sheet3" localSheetId="2">#REF!</definedName>
    <definedName name="Sheet3">#REF!</definedName>
    <definedName name="Sheet4" localSheetId="40">#REF!</definedName>
    <definedName name="Sheet4" localSheetId="54">#REF!</definedName>
    <definedName name="Sheet4" localSheetId="2">#REF!</definedName>
    <definedName name="Sheet4">#REF!</definedName>
    <definedName name="Sheet5" localSheetId="40">#REF!</definedName>
    <definedName name="Sheet5" localSheetId="54">#REF!</definedName>
    <definedName name="Sheet5" localSheetId="2">#REF!</definedName>
    <definedName name="Sheet5">#REF!</definedName>
    <definedName name="Sheet6" localSheetId="40">#REF!</definedName>
    <definedName name="Sheet6" localSheetId="54">#REF!</definedName>
    <definedName name="Sheet6" localSheetId="2">#REF!</definedName>
    <definedName name="Sheet6">#REF!</definedName>
    <definedName name="Sheet7" localSheetId="40">#REF!</definedName>
    <definedName name="Sheet7" localSheetId="54">#REF!</definedName>
    <definedName name="Sheet7" localSheetId="2">#REF!</definedName>
    <definedName name="Sheet7">#REF!</definedName>
    <definedName name="Sheet8" localSheetId="40">#REF!</definedName>
    <definedName name="Sheet8" localSheetId="54">#REF!</definedName>
    <definedName name="Sheet8" localSheetId="2">#REF!</definedName>
    <definedName name="Sheet8">#REF!</definedName>
    <definedName name="Sheet9" localSheetId="40">#REF!</definedName>
    <definedName name="Sheet9" localSheetId="54">#REF!</definedName>
    <definedName name="Sheet9" localSheetId="2">#REF!</definedName>
    <definedName name="Sheet9">#REF!</definedName>
    <definedName name="ss" localSheetId="40">#REF!</definedName>
    <definedName name="ss" localSheetId="54">#REF!</definedName>
    <definedName name="ss" localSheetId="2">#REF!</definedName>
    <definedName name="ss">#REF!</definedName>
    <definedName name="ttt" localSheetId="40">#REF!</definedName>
    <definedName name="ttt" localSheetId="54">#REF!</definedName>
    <definedName name="ttt" localSheetId="2">#REF!</definedName>
    <definedName name="ttt">#REF!</definedName>
    <definedName name="tttt" localSheetId="40">#REF!</definedName>
    <definedName name="tttt" localSheetId="54">#REF!</definedName>
    <definedName name="tttt" localSheetId="2">#REF!</definedName>
    <definedName name="tttt">#REF!</definedName>
    <definedName name="UFPrn20010712083924" localSheetId="40">#REF!</definedName>
    <definedName name="UFPrn20010712083924" localSheetId="54">#REF!</definedName>
    <definedName name="UFPrn20010712083924" localSheetId="2">#REF!</definedName>
    <definedName name="UFPrn20010712083924">#REF!</definedName>
    <definedName name="UFPrn20020224093130" localSheetId="40">#REF!</definedName>
    <definedName name="UFPrn20020224093130" localSheetId="54">#REF!</definedName>
    <definedName name="UFPrn20020224093130" localSheetId="2">#REF!</definedName>
    <definedName name="UFPrn20020224093130">#REF!</definedName>
    <definedName name="UFPrn20020224094757" localSheetId="40">#REF!</definedName>
    <definedName name="UFPrn20020224094757" localSheetId="54">#REF!</definedName>
    <definedName name="UFPrn20020224094757" localSheetId="2">#REF!</definedName>
    <definedName name="UFPrn20020224094757">#REF!</definedName>
    <definedName name="UFPrn20020224101302" localSheetId="40">#REF!</definedName>
    <definedName name="UFPrn20020224101302" localSheetId="54">#REF!</definedName>
    <definedName name="UFPrn20020224101302" localSheetId="2">#REF!</definedName>
    <definedName name="UFPrn20020224101302">#REF!</definedName>
    <definedName name="UFPrn20020224101600" localSheetId="40">#REF!</definedName>
    <definedName name="UFPrn20020224101600" localSheetId="54">#REF!</definedName>
    <definedName name="UFPrn20020224101600" localSheetId="2">#REF!</definedName>
    <definedName name="UFPrn20020224101600">#REF!</definedName>
    <definedName name="UFPrn20020228143318" localSheetId="40">#REF!</definedName>
    <definedName name="UFPrn20020228143318" localSheetId="54">#REF!</definedName>
    <definedName name="UFPrn20020228143318" localSheetId="2">#REF!</definedName>
    <definedName name="UFPrn20020228143318">#REF!</definedName>
    <definedName name="UFPrn20020303094007" localSheetId="40">#REF!</definedName>
    <definedName name="UFPrn20020303094007" localSheetId="54">#REF!</definedName>
    <definedName name="UFPrn20020303094007" localSheetId="2">#REF!</definedName>
    <definedName name="UFPrn20020303094007">#REF!</definedName>
    <definedName name="www" localSheetId="40">#REF!</definedName>
    <definedName name="www" localSheetId="54">#REF!</definedName>
    <definedName name="www" localSheetId="2">#REF!</definedName>
    <definedName name="www">#REF!</definedName>
    <definedName name="yyyy" localSheetId="40">#REF!</definedName>
    <definedName name="yyyy" localSheetId="54">#REF!</definedName>
    <definedName name="yyyy" localSheetId="2">#REF!</definedName>
    <definedName name="yyyy">#REF!</definedName>
    <definedName name="备___注" localSheetId="40">#REF!</definedName>
    <definedName name="备___注" localSheetId="54">#REF!</definedName>
    <definedName name="备___注" localSheetId="2">#REF!</definedName>
    <definedName name="备___注">#REF!</definedName>
    <definedName name="本级标准收入2004年">[4]本年收入合计!$E$4:$E$184</definedName>
    <definedName name="拨款汇总_合计" localSheetId="40">SUM([5]汇总!#REF!)</definedName>
    <definedName name="拨款汇总_合计" localSheetId="54">SUM([5]汇总!#REF!)</definedName>
    <definedName name="拨款汇总_合计" localSheetId="2">SUM([5]汇总!#REF!)</definedName>
    <definedName name="拨款汇总_合计">SUM([5]汇总!#REF!)</definedName>
    <definedName name="财力" localSheetId="40">#REF!</definedName>
    <definedName name="财力" localSheetId="54">#REF!</definedName>
    <definedName name="财力" localSheetId="2">#REF!</definedName>
    <definedName name="财力">#REF!</definedName>
    <definedName name="财政供养人员增幅2004年">[6]财政供养人员增幅!$E$6</definedName>
    <definedName name="财政供养人员增幅2004年分县">[6]财政供养人员增幅!$E$4:$E$184</definedName>
    <definedName name="村级标准支出">[7]村级支出!$E$4:$E$184</definedName>
    <definedName name="存货合计" localSheetId="40">#REF!</definedName>
    <definedName name="存货合计" localSheetId="54">#REF!</definedName>
    <definedName name="存货合计" localSheetId="2">#REF!</definedName>
    <definedName name="存货合计">#REF!</definedName>
    <definedName name="存货明细" localSheetId="40">#REF!</definedName>
    <definedName name="存货明细" localSheetId="54">#REF!</definedName>
    <definedName name="存货明细" localSheetId="2">#REF!</definedName>
    <definedName name="存货明细">#REF!</definedName>
    <definedName name="大多数">'[8]13 铁路配件'!$A$15</definedName>
    <definedName name="大幅度" localSheetId="40">#REF!</definedName>
    <definedName name="大幅度" localSheetId="54">#REF!</definedName>
    <definedName name="大幅度" localSheetId="2">#REF!</definedName>
    <definedName name="大幅度">#REF!</definedName>
    <definedName name="地区名称" localSheetId="40">[9]封面!#REF!</definedName>
    <definedName name="地区名称" localSheetId="54">[9]封面!#REF!</definedName>
    <definedName name="地区名称" localSheetId="2">[9]封面!#REF!</definedName>
    <definedName name="地区名称">[9]封面!#REF!</definedName>
    <definedName name="第二产业分县2003年">[10]GDP!$G$4:$G$184</definedName>
    <definedName name="第二产业合计2003年">[10]GDP!$G$4</definedName>
    <definedName name="第三产业分县2003年">[10]GDP!$H$4:$H$184</definedName>
    <definedName name="第三产业合计2003年">[10]GDP!$H$4</definedName>
    <definedName name="耕地占用税分县2003年">[11]一般预算收入!$U$4:$U$184</definedName>
    <definedName name="耕地占用税合计2003年">[11]一般预算收入!$U$4</definedName>
    <definedName name="工商税收2004年">[12]工商税收!$S$4:$S$184</definedName>
    <definedName name="工商税收合计2004年">[12]工商税收!$S$4</definedName>
    <definedName name="公检法司部门编制数">[13]公检法司编制!$E$4:$E$184</definedName>
    <definedName name="公用标准支出">[14]合计!$E$4:$E$184</definedName>
    <definedName name="行政管理部门编制数">[13]行政编制!$E$4:$E$184</definedName>
    <definedName name="合___计" localSheetId="40">#REF!</definedName>
    <definedName name="合___计" localSheetId="54">#REF!</definedName>
    <definedName name="合___计" localSheetId="2">#REF!</definedName>
    <definedName name="合___计">#REF!</definedName>
    <definedName name="汇率" localSheetId="40">#REF!</definedName>
    <definedName name="汇率" localSheetId="54">#REF!</definedName>
    <definedName name="汇率" localSheetId="2">#REF!</definedName>
    <definedName name="汇率">#REF!</definedName>
    <definedName name="科目编码">[15]编码!$A$2:$A$145</definedName>
    <definedName name="农业人口2003年">[16]农业人口!$E$4:$E$184</definedName>
    <definedName name="农业税分县2003年">[11]一般预算收入!$S$4:$S$184</definedName>
    <definedName name="农业税合计2003年">[11]一般预算收入!$S$4</definedName>
    <definedName name="农业特产税分县2003年">[11]一般预算收入!$T$4:$T$184</definedName>
    <definedName name="农业特产税合计2003年">[11]一般预算收入!$T$4</definedName>
    <definedName name="农业用地面积">[17]农业用地!$E$4:$E$184</definedName>
    <definedName name="契税分县2003年">[11]一般预算收入!$V$4:$V$184</definedName>
    <definedName name="契税合计2003年">[11]一般预算收入!$V$4</definedName>
    <definedName name="全额差额比例" localSheetId="40">'[18]C01-1'!#REF!</definedName>
    <definedName name="全额差额比例" localSheetId="54">'[18]C01-1'!#REF!</definedName>
    <definedName name="全额差额比例" localSheetId="2">'[18]C01-1'!#REF!</definedName>
    <definedName name="全额差额比例">'[18]C01-1'!#REF!</definedName>
    <definedName name="人员标准支出">[19]人员支出!$E$4:$E$184</definedName>
    <definedName name="生产列1" localSheetId="40">#REF!</definedName>
    <definedName name="生产列1" localSheetId="54">#REF!</definedName>
    <definedName name="生产列1" localSheetId="2">#REF!</definedName>
    <definedName name="生产列1">#REF!</definedName>
    <definedName name="生产列11" localSheetId="40">#REF!</definedName>
    <definedName name="生产列11" localSheetId="54">#REF!</definedName>
    <definedName name="生产列11" localSheetId="2">#REF!</definedName>
    <definedName name="生产列11">#REF!</definedName>
    <definedName name="生产列15" localSheetId="40">#REF!</definedName>
    <definedName name="生产列15" localSheetId="54">#REF!</definedName>
    <definedName name="生产列15" localSheetId="2">#REF!</definedName>
    <definedName name="生产列15">#REF!</definedName>
    <definedName name="生产列16" localSheetId="40">#REF!</definedName>
    <definedName name="生产列16" localSheetId="54">#REF!</definedName>
    <definedName name="生产列16" localSheetId="2">#REF!</definedName>
    <definedName name="生产列16">#REF!</definedName>
    <definedName name="生产列17" localSheetId="40">#REF!</definedName>
    <definedName name="生产列17" localSheetId="54">#REF!</definedName>
    <definedName name="生产列17" localSheetId="2">#REF!</definedName>
    <definedName name="生产列17">#REF!</definedName>
    <definedName name="生产列19" localSheetId="40">#REF!</definedName>
    <definedName name="生产列19" localSheetId="54">#REF!</definedName>
    <definedName name="生产列19" localSheetId="2">#REF!</definedName>
    <definedName name="生产列19">#REF!</definedName>
    <definedName name="生产列2" localSheetId="40">#REF!</definedName>
    <definedName name="生产列2" localSheetId="54">#REF!</definedName>
    <definedName name="生产列2" localSheetId="2">#REF!</definedName>
    <definedName name="生产列2">#REF!</definedName>
    <definedName name="生产列20" localSheetId="40">#REF!</definedName>
    <definedName name="生产列20" localSheetId="54">#REF!</definedName>
    <definedName name="生产列20" localSheetId="2">#REF!</definedName>
    <definedName name="生产列20">#REF!</definedName>
    <definedName name="生产列3" localSheetId="40">#REF!</definedName>
    <definedName name="生产列3" localSheetId="54">#REF!</definedName>
    <definedName name="生产列3" localSheetId="2">#REF!</definedName>
    <definedName name="生产列3">#REF!</definedName>
    <definedName name="生产列4" localSheetId="40">#REF!</definedName>
    <definedName name="生产列4" localSheetId="54">#REF!</definedName>
    <definedName name="生产列4" localSheetId="2">#REF!</definedName>
    <definedName name="生产列4">#REF!</definedName>
    <definedName name="生产列5" localSheetId="40">#REF!</definedName>
    <definedName name="生产列5" localSheetId="54">#REF!</definedName>
    <definedName name="生产列5" localSheetId="2">#REF!</definedName>
    <definedName name="生产列5">#REF!</definedName>
    <definedName name="生产列6" localSheetId="40">#REF!</definedName>
    <definedName name="生产列6" localSheetId="54">#REF!</definedName>
    <definedName name="生产列6" localSheetId="2">#REF!</definedName>
    <definedName name="生产列6">#REF!</definedName>
    <definedName name="生产列7" localSheetId="40">#REF!</definedName>
    <definedName name="生产列7" localSheetId="54">#REF!</definedName>
    <definedName name="生产列7" localSheetId="2">#REF!</definedName>
    <definedName name="生产列7">#REF!</definedName>
    <definedName name="生产列8" localSheetId="40">#REF!</definedName>
    <definedName name="生产列8" localSheetId="54">#REF!</definedName>
    <definedName name="生产列8" localSheetId="2">#REF!</definedName>
    <definedName name="生产列8">#REF!</definedName>
    <definedName name="生产列9" localSheetId="40">#REF!</definedName>
    <definedName name="生产列9" localSheetId="54">#REF!</definedName>
    <definedName name="生产列9" localSheetId="2">#REF!</definedName>
    <definedName name="生产列9">#REF!</definedName>
    <definedName name="生产期" localSheetId="40">#REF!</definedName>
    <definedName name="生产期" localSheetId="54">#REF!</definedName>
    <definedName name="生产期" localSheetId="2">#REF!</definedName>
    <definedName name="生产期">#REF!</definedName>
    <definedName name="生产期1" localSheetId="40">#REF!</definedName>
    <definedName name="生产期1" localSheetId="54">#REF!</definedName>
    <definedName name="生产期1" localSheetId="2">#REF!</definedName>
    <definedName name="生产期1">#REF!</definedName>
    <definedName name="生产期11" localSheetId="40">#REF!</definedName>
    <definedName name="生产期11" localSheetId="54">#REF!</definedName>
    <definedName name="生产期11" localSheetId="2">#REF!</definedName>
    <definedName name="生产期11">#REF!</definedName>
    <definedName name="生产期123" localSheetId="40">#REF!</definedName>
    <definedName name="生产期123" localSheetId="54">#REF!</definedName>
    <definedName name="生产期123" localSheetId="2">#REF!</definedName>
    <definedName name="生产期123">#REF!</definedName>
    <definedName name="生产期15" localSheetId="40">#REF!</definedName>
    <definedName name="生产期15" localSheetId="54">#REF!</definedName>
    <definedName name="生产期15" localSheetId="2">#REF!</definedName>
    <definedName name="生产期15">#REF!</definedName>
    <definedName name="生产期16" localSheetId="40">#REF!</definedName>
    <definedName name="生产期16" localSheetId="54">#REF!</definedName>
    <definedName name="生产期16" localSheetId="2">#REF!</definedName>
    <definedName name="生产期16">#REF!</definedName>
    <definedName name="生产期17" localSheetId="40">#REF!</definedName>
    <definedName name="生产期17" localSheetId="54">#REF!</definedName>
    <definedName name="生产期17" localSheetId="2">#REF!</definedName>
    <definedName name="生产期17">#REF!</definedName>
    <definedName name="生产期19" localSheetId="40">#REF!</definedName>
    <definedName name="生产期19" localSheetId="54">#REF!</definedName>
    <definedName name="生产期19" localSheetId="2">#REF!</definedName>
    <definedName name="生产期19">#REF!</definedName>
    <definedName name="生产期2" localSheetId="40">#REF!</definedName>
    <definedName name="生产期2" localSheetId="54">#REF!</definedName>
    <definedName name="生产期2" localSheetId="2">#REF!</definedName>
    <definedName name="生产期2">#REF!</definedName>
    <definedName name="生产期20" localSheetId="40">#REF!</definedName>
    <definedName name="生产期20" localSheetId="54">#REF!</definedName>
    <definedName name="生产期20" localSheetId="2">#REF!</definedName>
    <definedName name="生产期20">#REF!</definedName>
    <definedName name="生产期3" localSheetId="40">#REF!</definedName>
    <definedName name="生产期3" localSheetId="54">#REF!</definedName>
    <definedName name="生产期3" localSheetId="2">#REF!</definedName>
    <definedName name="生产期3">#REF!</definedName>
    <definedName name="生产期4" localSheetId="40">#REF!</definedName>
    <definedName name="生产期4" localSheetId="54">#REF!</definedName>
    <definedName name="生产期4" localSheetId="2">#REF!</definedName>
    <definedName name="生产期4">#REF!</definedName>
    <definedName name="生产期5" localSheetId="40">#REF!</definedName>
    <definedName name="生产期5" localSheetId="54">#REF!</definedName>
    <definedName name="生产期5" localSheetId="2">#REF!</definedName>
    <definedName name="生产期5">#REF!</definedName>
    <definedName name="生产期6" localSheetId="40">#REF!</definedName>
    <definedName name="生产期6" localSheetId="54">#REF!</definedName>
    <definedName name="生产期6" localSheetId="2">#REF!</definedName>
    <definedName name="生产期6">#REF!</definedName>
    <definedName name="生产期7" localSheetId="40">#REF!</definedName>
    <definedName name="生产期7" localSheetId="54">#REF!</definedName>
    <definedName name="生产期7" localSheetId="2">#REF!</definedName>
    <definedName name="生产期7">#REF!</definedName>
    <definedName name="生产期8" localSheetId="40">#REF!</definedName>
    <definedName name="生产期8" localSheetId="54">#REF!</definedName>
    <definedName name="生产期8" localSheetId="2">#REF!</definedName>
    <definedName name="生产期8">#REF!</definedName>
    <definedName name="生产期9" localSheetId="40">#REF!</definedName>
    <definedName name="生产期9" localSheetId="54">#REF!</definedName>
    <definedName name="生产期9" localSheetId="2">#REF!</definedName>
    <definedName name="生产期9">#REF!</definedName>
    <definedName name="事业发展支出">[20]事业发展!$E$4:$E$184</definedName>
    <definedName name="是" localSheetId="40">#REF!</definedName>
    <definedName name="是" localSheetId="54">#REF!</definedName>
    <definedName name="是" localSheetId="2">#REF!</definedName>
    <definedName name="是">#REF!</definedName>
    <definedName name="手机">OR([3]Sheet!$AL1="未填手机号码",[3]Sheet!$AL1="请检查手机号码")</definedName>
    <definedName name="索引号" localSheetId="40">#REF!</definedName>
    <definedName name="索引号" localSheetId="54">#REF!</definedName>
    <definedName name="索引号" localSheetId="2">#REF!</definedName>
    <definedName name="索引号">#REF!</definedName>
    <definedName name="未审合计" localSheetId="40">#REF!</definedName>
    <definedName name="未审合计" localSheetId="54">#REF!</definedName>
    <definedName name="未审合计" localSheetId="2">#REF!</definedName>
    <definedName name="未审合计">#REF!</definedName>
    <definedName name="未审数" localSheetId="40">#REF!</definedName>
    <definedName name="未审数" localSheetId="54">#REF!</definedName>
    <definedName name="未审数" localSheetId="2">#REF!</definedName>
    <definedName name="未审数">#REF!</definedName>
    <definedName name="位次d" localSheetId="40">[21]四月份月报!#REF!</definedName>
    <definedName name="位次d" localSheetId="54">[21]四月份月报!#REF!</definedName>
    <definedName name="位次d" localSheetId="2">[21]四月份月报!#REF!</definedName>
    <definedName name="位次d">[21]四月份月报!#REF!</definedName>
    <definedName name="乡镇个数">[22]行政区划!$D$6:$D$184</definedName>
    <definedName name="性别">[3]Sheet!$D1="性别填写有误"</definedName>
    <definedName name="学历">[23]基础编码!$S$2:$S$9</definedName>
    <definedName name="一般预算收入2002年">'[24]2002年一般预算收入'!$AC$4:$AC$184</definedName>
    <definedName name="一般预算收入2003年">[11]一般预算收入!$AD$4:$AD$184</definedName>
    <definedName name="一般预算收入合计2003年">[11]一般预算收入!$AC$4</definedName>
    <definedName name="支出">[25]P1012001!$A$6:$E$117</definedName>
    <definedName name="中国" localSheetId="40">#REF!</definedName>
    <definedName name="中国" localSheetId="54">#REF!</definedName>
    <definedName name="中国" localSheetId="2">#REF!</definedName>
    <definedName name="中国">#REF!</definedName>
    <definedName name="中小学生人数2003年">[26]中小学生!$E$4:$E$184</definedName>
    <definedName name="总人口2003年">[27]总人口!$E$4:$E$184</definedName>
    <definedName name="전" localSheetId="40">#REF!</definedName>
    <definedName name="전" localSheetId="54">#REF!</definedName>
    <definedName name="전" localSheetId="2">#REF!</definedName>
    <definedName name="전">#REF!</definedName>
    <definedName name="주택사업본부" localSheetId="40">#REF!</definedName>
    <definedName name="주택사업본부" localSheetId="54">#REF!</definedName>
    <definedName name="주택사업본부" localSheetId="2">#REF!</definedName>
    <definedName name="주택사업본부">#REF!</definedName>
    <definedName name="철구사업본부" localSheetId="40">#REF!</definedName>
    <definedName name="철구사업본부" localSheetId="54">#REF!</definedName>
    <definedName name="철구사업본부" localSheetId="2">#REF!</definedName>
    <definedName name="철구사업본부">#REF!</definedName>
  </definedNames>
  <calcPr calcId="124519" concurrentCalc="0"/>
</workbook>
</file>

<file path=xl/calcChain.xml><?xml version="1.0" encoding="utf-8"?>
<calcChain xmlns="http://schemas.openxmlformats.org/spreadsheetml/2006/main">
  <c r="C29" i="153"/>
  <c r="B29"/>
  <c r="C28"/>
  <c r="B28"/>
  <c r="C27"/>
  <c r="B27"/>
  <c r="C26"/>
  <c r="B26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2"/>
  <c r="B12"/>
  <c r="C11"/>
  <c r="B11"/>
  <c r="C10"/>
  <c r="B10"/>
  <c r="C9"/>
  <c r="B9"/>
  <c r="C8"/>
  <c r="B8"/>
  <c r="C7"/>
  <c r="B7"/>
  <c r="C6"/>
  <c r="B6"/>
  <c r="C28" i="198"/>
  <c r="B28"/>
  <c r="C27"/>
  <c r="B27"/>
  <c r="C26"/>
  <c r="B26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2"/>
  <c r="B12"/>
  <c r="C11"/>
  <c r="B11"/>
  <c r="C10"/>
  <c r="B10"/>
  <c r="C9"/>
  <c r="B9"/>
  <c r="C8"/>
  <c r="B8"/>
  <c r="C7"/>
  <c r="B7"/>
  <c r="C6"/>
  <c r="B6"/>
  <c r="C29" i="154"/>
  <c r="B29"/>
  <c r="C28"/>
  <c r="B28"/>
  <c r="C27"/>
  <c r="B27"/>
  <c r="C26"/>
  <c r="B26"/>
  <c r="C24"/>
  <c r="B24"/>
  <c r="C23"/>
  <c r="B23"/>
  <c r="C22"/>
  <c r="B22"/>
  <c r="C21"/>
  <c r="B21"/>
  <c r="C20"/>
  <c r="B20"/>
  <c r="C19"/>
  <c r="B19"/>
  <c r="C18"/>
  <c r="B18"/>
  <c r="C17"/>
  <c r="B17"/>
  <c r="B16"/>
  <c r="C15"/>
  <c r="B15"/>
  <c r="C14"/>
  <c r="B14"/>
  <c r="C12"/>
  <c r="B12"/>
  <c r="C11"/>
  <c r="B11"/>
  <c r="C10"/>
  <c r="B10"/>
  <c r="C9"/>
  <c r="B9"/>
  <c r="C8"/>
  <c r="B8"/>
  <c r="C7"/>
  <c r="B7"/>
  <c r="C6"/>
  <c r="B6"/>
  <c r="C30" i="155"/>
  <c r="B30"/>
  <c r="C29"/>
  <c r="B29"/>
  <c r="C28"/>
  <c r="B28"/>
  <c r="C26"/>
  <c r="B26"/>
  <c r="C25"/>
  <c r="B25"/>
  <c r="C24"/>
  <c r="B24"/>
  <c r="C23"/>
  <c r="B23"/>
  <c r="C21"/>
  <c r="B21"/>
  <c r="C20"/>
  <c r="B20"/>
  <c r="C19"/>
  <c r="B19"/>
  <c r="C18"/>
  <c r="B18"/>
  <c r="C17"/>
  <c r="B17"/>
  <c r="C16"/>
  <c r="B16"/>
  <c r="C15"/>
  <c r="B15"/>
  <c r="C13"/>
  <c r="B13"/>
  <c r="C12"/>
  <c r="B12"/>
  <c r="C11"/>
  <c r="B11"/>
  <c r="C10"/>
  <c r="B10"/>
  <c r="C9"/>
  <c r="B9"/>
  <c r="C8"/>
  <c r="B8"/>
  <c r="C7"/>
  <c r="B7"/>
  <c r="C6"/>
  <c r="B6"/>
  <c r="C28" i="156"/>
  <c r="B28"/>
  <c r="C27"/>
  <c r="B27"/>
  <c r="C26"/>
  <c r="B26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2"/>
  <c r="B12"/>
  <c r="C11"/>
  <c r="B11"/>
  <c r="C10"/>
  <c r="B10"/>
  <c r="C9"/>
  <c r="B9"/>
  <c r="C8"/>
  <c r="B8"/>
  <c r="C7"/>
  <c r="B7"/>
  <c r="C6"/>
  <c r="B6"/>
  <c r="C29" i="157"/>
  <c r="B29"/>
  <c r="C28"/>
  <c r="B28"/>
  <c r="C27"/>
  <c r="B27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3"/>
  <c r="B13"/>
  <c r="C12"/>
  <c r="B12"/>
  <c r="C11"/>
  <c r="B11"/>
  <c r="C10"/>
  <c r="B10"/>
  <c r="C9"/>
  <c r="B9"/>
  <c r="C8"/>
  <c r="B8"/>
  <c r="C7"/>
  <c r="B7"/>
  <c r="C6"/>
  <c r="B6"/>
  <c r="C28" i="158"/>
  <c r="B28"/>
  <c r="C27"/>
  <c r="B27"/>
  <c r="C26"/>
  <c r="B26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2"/>
  <c r="B12"/>
  <c r="C11"/>
  <c r="B11"/>
  <c r="C10"/>
  <c r="B10"/>
  <c r="C9"/>
  <c r="B9"/>
  <c r="C8"/>
  <c r="B8"/>
  <c r="C7"/>
  <c r="B7"/>
  <c r="C6"/>
  <c r="B6"/>
  <c r="G27" i="194"/>
  <c r="D27"/>
  <c r="G26"/>
  <c r="D26"/>
  <c r="G25"/>
  <c r="D25"/>
  <c r="G24"/>
  <c r="D24"/>
  <c r="G23"/>
  <c r="D23"/>
  <c r="G22"/>
  <c r="D22"/>
  <c r="G21"/>
  <c r="D21"/>
  <c r="G20"/>
  <c r="D20"/>
  <c r="G19"/>
  <c r="D19"/>
  <c r="G18"/>
  <c r="D18"/>
  <c r="G17"/>
  <c r="D17"/>
  <c r="G16"/>
  <c r="D16"/>
  <c r="G15"/>
  <c r="D15"/>
  <c r="G14"/>
  <c r="D14"/>
  <c r="G13"/>
  <c r="D13"/>
  <c r="G12"/>
  <c r="D12"/>
  <c r="G11"/>
  <c r="D11"/>
  <c r="G10"/>
  <c r="D10"/>
  <c r="G9"/>
  <c r="D9"/>
  <c r="G8"/>
  <c r="D8"/>
  <c r="G7"/>
  <c r="D7"/>
  <c r="D27" i="127"/>
  <c r="D26"/>
  <c r="D25"/>
  <c r="D23"/>
  <c r="D22"/>
  <c r="D21"/>
  <c r="D20"/>
  <c r="D19"/>
  <c r="D18"/>
  <c r="D15"/>
  <c r="D14"/>
  <c r="D13"/>
  <c r="D12"/>
  <c r="D11"/>
  <c r="D10"/>
  <c r="D9"/>
  <c r="D8"/>
  <c r="D7"/>
  <c r="D6"/>
  <c r="D27" i="170"/>
  <c r="D26"/>
  <c r="D25"/>
  <c r="D24"/>
  <c r="D23"/>
  <c r="D22"/>
  <c r="D21"/>
  <c r="D20"/>
  <c r="D19"/>
  <c r="D18"/>
</calcChain>
</file>

<file path=xl/sharedStrings.xml><?xml version="1.0" encoding="utf-8"?>
<sst xmlns="http://schemas.openxmlformats.org/spreadsheetml/2006/main" count="1834" uniqueCount="602">
  <si>
    <t>主要经济指标完成情况</t>
  </si>
  <si>
    <t>指   标</t>
  </si>
  <si>
    <t>单位</t>
  </si>
  <si>
    <t>2019年1-2月</t>
  </si>
  <si>
    <t>绝对值</t>
  </si>
  <si>
    <t>增长%</t>
  </si>
  <si>
    <t>生产总值(GDP)</t>
  </si>
  <si>
    <t>亿元</t>
  </si>
  <si>
    <t>-</t>
  </si>
  <si>
    <t>规模以上工业总产值</t>
  </si>
  <si>
    <t>规模以上工业增加值</t>
  </si>
  <si>
    <t>固定资产投资</t>
  </si>
  <si>
    <t xml:space="preserve">    房地产开发投资</t>
  </si>
  <si>
    <t xml:space="preserve">    商品房销售面积</t>
  </si>
  <si>
    <t>万平方米</t>
  </si>
  <si>
    <t>社会消费品零售总额</t>
  </si>
  <si>
    <t>地方一般公共预算收入</t>
  </si>
  <si>
    <t>地方一般公共预算支出</t>
  </si>
  <si>
    <t>税收收入</t>
  </si>
  <si>
    <t>进出口总额（上月累计数）</t>
  </si>
  <si>
    <t xml:space="preserve">    出口总额</t>
  </si>
  <si>
    <t xml:space="preserve">    进口总额</t>
  </si>
  <si>
    <t>实际使用外资</t>
  </si>
  <si>
    <t>万美元</t>
  </si>
  <si>
    <t>金融机构本外币存款余额</t>
  </si>
  <si>
    <t xml:space="preserve">    #住户存款余额</t>
  </si>
  <si>
    <t>金融机构本外币贷款余额</t>
  </si>
  <si>
    <t>居民消费价格指数</t>
  </si>
  <si>
    <t>%</t>
  </si>
  <si>
    <t>工业生产者出厂价格指数</t>
  </si>
  <si>
    <t>全社会用电量</t>
  </si>
  <si>
    <t>亿千瓦时</t>
  </si>
  <si>
    <t xml:space="preserve">    工业用电量</t>
  </si>
  <si>
    <t>注：生产总值按季度统计，税收收入按自然口径计算。</t>
  </si>
  <si>
    <t>2018年</t>
  </si>
  <si>
    <t>进出口总额</t>
  </si>
  <si>
    <t>全市生产总值（GDP）</t>
  </si>
  <si>
    <t>单位：亿元</t>
  </si>
  <si>
    <t>指  标</t>
  </si>
  <si>
    <t>生产总值</t>
  </si>
  <si>
    <t xml:space="preserve">    第一产业</t>
  </si>
  <si>
    <t xml:space="preserve">    第二产业</t>
  </si>
  <si>
    <t xml:space="preserve">        建筑业</t>
  </si>
  <si>
    <t xml:space="preserve">    第三产业</t>
  </si>
  <si>
    <t xml:space="preserve">        交运仓储邮电通信业</t>
  </si>
  <si>
    <t xml:space="preserve">        批发和零售业</t>
  </si>
  <si>
    <t xml:space="preserve">        住宿和餐饮业</t>
  </si>
  <si>
    <t xml:space="preserve">        金融业</t>
  </si>
  <si>
    <t xml:space="preserve">        房地产业</t>
  </si>
  <si>
    <t xml:space="preserve">        营利性服务业</t>
  </si>
  <si>
    <t xml:space="preserve">        非营利性服务业</t>
  </si>
  <si>
    <t xml:space="preserve">        农业</t>
  </si>
  <si>
    <t xml:space="preserve"> </t>
  </si>
  <si>
    <t xml:space="preserve">        工业</t>
  </si>
  <si>
    <t xml:space="preserve">  三次产业结构（%）</t>
  </si>
  <si>
    <t>17.7:36.1:46.1</t>
  </si>
  <si>
    <t>注：生产总值按季度核算。</t>
  </si>
  <si>
    <t>农业生产情况</t>
  </si>
  <si>
    <t>审核</t>
  </si>
  <si>
    <t>一、农林牧渔业总产值</t>
  </si>
  <si>
    <t xml:space="preserve">        农  业</t>
  </si>
  <si>
    <t xml:space="preserve">        林  业</t>
  </si>
  <si>
    <t xml:space="preserve">        畜牧业</t>
  </si>
  <si>
    <t xml:space="preserve">        渔  业</t>
  </si>
  <si>
    <t xml:space="preserve">        农林牧渔服务业</t>
  </si>
  <si>
    <t>二、农林牧渔业增加值</t>
  </si>
  <si>
    <t>错!!与分县1表数据不一致</t>
  </si>
  <si>
    <t>三、主要农产品产量</t>
  </si>
  <si>
    <t xml:space="preserve">        粮  食 </t>
  </si>
  <si>
    <t>万吨</t>
  </si>
  <si>
    <t xml:space="preserve">            #稻  谷</t>
  </si>
  <si>
    <t xml:space="preserve">        蔬  菜 </t>
  </si>
  <si>
    <t xml:space="preserve">        园林水果 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</si>
  <si>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</si>
  <si>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</si>
  <si>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</si>
  <si>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</si>
  <si>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</si>
  <si>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>注：农业总产值和增加值按季度核算，增长速度按可比价格计算，以2017年农普修订的季度数据为基数。</t>
  </si>
  <si>
    <t>规模以上工业生产情况（一）</t>
  </si>
  <si>
    <t>2月</t>
  </si>
  <si>
    <t>增速（%）</t>
  </si>
  <si>
    <t>1-2月</t>
  </si>
  <si>
    <t>一、工业总产值</t>
  </si>
  <si>
    <t xml:space="preserve">  # 轻工业</t>
  </si>
  <si>
    <t xml:space="preserve">    重工业</t>
  </si>
  <si>
    <t xml:space="preserve">  # 国有企业</t>
  </si>
  <si>
    <t xml:space="preserve">    集体企业</t>
  </si>
  <si>
    <t xml:space="preserve">    股份合作制企业</t>
  </si>
  <si>
    <t xml:space="preserve">    股份制企业</t>
  </si>
  <si>
    <t xml:space="preserve">    外商及港澳台企业</t>
  </si>
  <si>
    <t xml:space="preserve">    其他经济类型企业</t>
  </si>
  <si>
    <t xml:space="preserve">  # 国有及国有控股企业</t>
  </si>
  <si>
    <t xml:space="preserve">    民营企业</t>
  </si>
  <si>
    <t xml:space="preserve">  # 大型企业</t>
  </si>
  <si>
    <t xml:space="preserve">    中型企业</t>
  </si>
  <si>
    <t xml:space="preserve">    小型企业</t>
  </si>
  <si>
    <t xml:space="preserve">    微型企业</t>
  </si>
  <si>
    <t>二、出口交货值</t>
  </si>
  <si>
    <t>现价销售产值         （亿元）</t>
  </si>
  <si>
    <t>产品销售率（%）</t>
  </si>
  <si>
    <t>产品销售率增速（%）</t>
  </si>
  <si>
    <t>三、销售产值及产销率</t>
  </si>
  <si>
    <t>注：2011年起，规模以上工业统计范围为主营业务收入2000万元及以上的工业法人企业。</t>
  </si>
  <si>
    <t>规模以上工业生产情况（二）</t>
  </si>
  <si>
    <t>一、工业增加值</t>
  </si>
  <si>
    <t>规模以上工业企业经济效益</t>
  </si>
  <si>
    <t>计量单位</t>
  </si>
  <si>
    <t>企业单位数</t>
  </si>
  <si>
    <t>个</t>
  </si>
  <si>
    <t xml:space="preserve">    #亏损企业</t>
  </si>
  <si>
    <t>亏损企业亏损额</t>
  </si>
  <si>
    <t>主营业务收入</t>
  </si>
  <si>
    <t>实现利税总额</t>
  </si>
  <si>
    <t xml:space="preserve">    #利润总额</t>
  </si>
  <si>
    <t>资产合计</t>
  </si>
  <si>
    <t>负债合计</t>
  </si>
  <si>
    <t>应收帐款净额</t>
  </si>
  <si>
    <t>产成品存货</t>
  </si>
  <si>
    <t>利息支出</t>
  </si>
  <si>
    <t>全部从业人员平均人数</t>
  </si>
  <si>
    <t>万人</t>
  </si>
  <si>
    <t>经济效益综合指数</t>
  </si>
  <si>
    <t>资产贡献率</t>
  </si>
  <si>
    <t>资产增值率</t>
  </si>
  <si>
    <t>资产负债率</t>
  </si>
  <si>
    <t>流动资产周转率</t>
  </si>
  <si>
    <t>次</t>
  </si>
  <si>
    <t>成本利润率</t>
  </si>
  <si>
    <t>劳动生产率</t>
  </si>
  <si>
    <t>万元/人</t>
  </si>
  <si>
    <t>产品销售率</t>
  </si>
  <si>
    <t>分行业规模以上工业企业总产值(一）</t>
  </si>
  <si>
    <t>全市总计</t>
  </si>
  <si>
    <t xml:space="preserve">黑色金属矿采矿业   </t>
  </si>
  <si>
    <t>有色金属矿采选业</t>
  </si>
  <si>
    <t xml:space="preserve">非金属矿采选业     </t>
  </si>
  <si>
    <t xml:space="preserve">开采辅助活动     </t>
  </si>
  <si>
    <t>其他采矿业</t>
  </si>
  <si>
    <t xml:space="preserve">农副食品加工业     </t>
  </si>
  <si>
    <t xml:space="preserve">    其中：植物油加工    </t>
  </si>
  <si>
    <t xml:space="preserve">          制糖</t>
  </si>
  <si>
    <t xml:space="preserve">          水产品加工</t>
  </si>
  <si>
    <t xml:space="preserve">食品制造业         </t>
  </si>
  <si>
    <t xml:space="preserve">酒.饮料和精制茶制造业 </t>
  </si>
  <si>
    <t xml:space="preserve">烟草制品业         </t>
  </si>
  <si>
    <t xml:space="preserve">纺织业             </t>
  </si>
  <si>
    <t>纺织服装、服饰业</t>
  </si>
  <si>
    <t xml:space="preserve">皮革毛皮羽毛制品业 </t>
  </si>
  <si>
    <t xml:space="preserve">木材.竹.藤.棕.草制品业 </t>
  </si>
  <si>
    <t xml:space="preserve">家具制造业         </t>
  </si>
  <si>
    <t xml:space="preserve">造纸及纸制品业     </t>
  </si>
  <si>
    <t xml:space="preserve">印刷、记录媒介复制 </t>
  </si>
  <si>
    <t>分行业规模以上工业企业总产值(二）</t>
  </si>
  <si>
    <t>文教体育娱乐用品制造业</t>
  </si>
  <si>
    <t>石油加工.炼焦业</t>
  </si>
  <si>
    <t>化学原料及化学制造业</t>
  </si>
  <si>
    <t>医药制造业</t>
  </si>
  <si>
    <t>橡胶和塑料制品业</t>
  </si>
  <si>
    <t>非金属矿制品业</t>
  </si>
  <si>
    <t>黑色金属冶炼压延加工业</t>
  </si>
  <si>
    <t>有色金属冶炼压延加工业</t>
  </si>
  <si>
    <t>金属制品业</t>
  </si>
  <si>
    <t>通用机械制造业</t>
  </si>
  <si>
    <t>专用设备制造业</t>
  </si>
  <si>
    <t>汽车制造业</t>
  </si>
  <si>
    <t>铁路船舶和其他运输设备制造</t>
  </si>
  <si>
    <t>电气机械及器材制造业</t>
  </si>
  <si>
    <t>通信设备.计算机制造业</t>
  </si>
  <si>
    <t>其他制造业</t>
  </si>
  <si>
    <t>废弃资源废旧材料回收业</t>
  </si>
  <si>
    <t>金属制品.机械和设备修理业</t>
  </si>
  <si>
    <t>电力.热力生产和供应业</t>
  </si>
  <si>
    <t>燃气生产和供应业</t>
  </si>
  <si>
    <t>自来水的生产和供应业</t>
  </si>
  <si>
    <t>规模以上工业企业主要产品产量(一）</t>
  </si>
  <si>
    <t xml:space="preserve">原  盐        </t>
  </si>
  <si>
    <t xml:space="preserve">饲  料    </t>
  </si>
  <si>
    <t xml:space="preserve">食用植物油    </t>
  </si>
  <si>
    <t xml:space="preserve">小麦粉        </t>
  </si>
  <si>
    <t xml:space="preserve">鲜冷藏冻肉    </t>
  </si>
  <si>
    <t xml:space="preserve">成品糖        </t>
  </si>
  <si>
    <t xml:space="preserve">罐头          </t>
  </si>
  <si>
    <t xml:space="preserve">发酵酒精      </t>
  </si>
  <si>
    <t xml:space="preserve">千升  </t>
  </si>
  <si>
    <t xml:space="preserve">饮料酒         </t>
  </si>
  <si>
    <t xml:space="preserve">  其中:白酒   </t>
  </si>
  <si>
    <t xml:space="preserve">       啤酒   </t>
  </si>
  <si>
    <t>乳制品</t>
  </si>
  <si>
    <t>饮料</t>
  </si>
  <si>
    <t xml:space="preserve">冷冻水产品    </t>
  </si>
  <si>
    <t xml:space="preserve">卷  烟        </t>
  </si>
  <si>
    <t>亿支</t>
  </si>
  <si>
    <t xml:space="preserve">纱            </t>
  </si>
  <si>
    <t>鞋</t>
  </si>
  <si>
    <t>万双</t>
  </si>
  <si>
    <t>服装</t>
  </si>
  <si>
    <t>万件</t>
  </si>
  <si>
    <t>规模以上工业企业主要产品产量(二）</t>
  </si>
  <si>
    <t>纸浆</t>
  </si>
  <si>
    <t xml:space="preserve">人造板        </t>
  </si>
  <si>
    <t xml:space="preserve">万立方米 </t>
  </si>
  <si>
    <t xml:space="preserve">家具          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</si>
  <si>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</si>
  <si>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</si>
  <si>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</si>
  <si>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</si>
  <si>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</si>
  <si>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</si>
  <si>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石脑油</t>
  </si>
  <si>
    <t>石油沥青</t>
  </si>
  <si>
    <t>液化石油气</t>
  </si>
  <si>
    <t xml:space="preserve">硫酸(折100%)  </t>
  </si>
  <si>
    <t>纯苯</t>
  </si>
  <si>
    <t xml:space="preserve">农用化学肥料  </t>
  </si>
  <si>
    <t>磷酸二铵（实物量）</t>
  </si>
  <si>
    <t xml:space="preserve">初级形态的塑料          </t>
  </si>
  <si>
    <t>化学药品原药</t>
  </si>
  <si>
    <t>涂料</t>
  </si>
  <si>
    <t>中成药</t>
  </si>
  <si>
    <t>规模以上工业企业主要产品产量(三）</t>
  </si>
  <si>
    <t xml:space="preserve">塑料制品     </t>
  </si>
  <si>
    <t>塑料薄膜</t>
  </si>
  <si>
    <t xml:space="preserve">橡胶轮胎外胎     </t>
  </si>
  <si>
    <t>万条</t>
  </si>
  <si>
    <t xml:space="preserve">水泥         </t>
  </si>
  <si>
    <t xml:space="preserve">商品混凝土   </t>
  </si>
  <si>
    <t>万立方米</t>
  </si>
  <si>
    <t xml:space="preserve">砖(折标准砖) </t>
  </si>
  <si>
    <t>亿块</t>
  </si>
  <si>
    <t xml:space="preserve">玻璃包装容器 </t>
  </si>
  <si>
    <t>瓷砖</t>
  </si>
  <si>
    <t xml:space="preserve">万平方米 </t>
  </si>
  <si>
    <t>生铁</t>
  </si>
  <si>
    <t>粗钢</t>
  </si>
  <si>
    <t>钢材</t>
  </si>
  <si>
    <t>金属门窗及类似制品</t>
  </si>
  <si>
    <t xml:space="preserve">铝  材       </t>
  </si>
  <si>
    <t>金属紧固件</t>
  </si>
  <si>
    <t>农产品初加工机械</t>
  </si>
  <si>
    <t>台</t>
  </si>
  <si>
    <t xml:space="preserve">变压器       </t>
  </si>
  <si>
    <t>万千伏安</t>
  </si>
  <si>
    <t xml:space="preserve">电饭锅       </t>
  </si>
  <si>
    <t>万个</t>
  </si>
  <si>
    <t xml:space="preserve">灯具照明装置 </t>
  </si>
  <si>
    <t>万台（套）</t>
  </si>
  <si>
    <t xml:space="preserve">发电量       </t>
  </si>
  <si>
    <t xml:space="preserve">供电量       </t>
  </si>
  <si>
    <t>工业综合能源消费量</t>
  </si>
  <si>
    <t>单位：万吨标准煤</t>
  </si>
  <si>
    <t>规模以上工业企业</t>
  </si>
  <si>
    <t xml:space="preserve">    采矿业</t>
  </si>
  <si>
    <t xml:space="preserve">    制造业</t>
  </si>
  <si>
    <t xml:space="preserve">    电力、热力、燃气及水生产和供应业</t>
  </si>
  <si>
    <t xml:space="preserve"> 高耗能行业</t>
  </si>
  <si>
    <t xml:space="preserve">  25.石油、煤炭及其他燃料加工业 </t>
  </si>
  <si>
    <t xml:space="preserve">  26.化学原料和化学制品制造业</t>
  </si>
  <si>
    <t xml:space="preserve">  30.非金属矿物制品业</t>
  </si>
  <si>
    <t xml:space="preserve">  31.黑色金属冶炼和压延加工业</t>
  </si>
  <si>
    <t xml:space="preserve">  32.有色金属冶炼和压延加工业 </t>
  </si>
  <si>
    <t xml:space="preserve">  44.电力、热力生产和供应业</t>
  </si>
  <si>
    <t>注：工业综合能源消费量(按当量值计算)为企业在工业生产活动中实际消费的各种能源的总和净值。</t>
  </si>
  <si>
    <t>交通运输完成情况</t>
  </si>
  <si>
    <t xml:space="preserve"> 计量单位</t>
  </si>
  <si>
    <r>
      <t>增长</t>
    </r>
    <r>
      <rPr>
        <sz val="12"/>
        <rFont val="Times New Roman"/>
        <family val="1"/>
      </rPr>
      <t>%</t>
    </r>
  </si>
  <si>
    <t>一、港口货物吞吐量</t>
  </si>
  <si>
    <t>全市港口货物吞吐量</t>
  </si>
  <si>
    <t xml:space="preserve">   # 湛江港集团有限公司</t>
  </si>
  <si>
    <t>全市港口集装箱吞吐量</t>
  </si>
  <si>
    <t>万TEU</t>
  </si>
  <si>
    <t>二、交通运输</t>
  </si>
  <si>
    <t>（一）公 路</t>
  </si>
  <si>
    <t xml:space="preserve">        货运量</t>
  </si>
  <si>
    <t>亿吨</t>
  </si>
  <si>
    <t xml:space="preserve">        货物周转量</t>
  </si>
  <si>
    <t>亿吨公里</t>
  </si>
  <si>
    <t xml:space="preserve">        客运量</t>
  </si>
  <si>
    <t xml:space="preserve">        旅客周转量</t>
  </si>
  <si>
    <t>亿人公里</t>
  </si>
  <si>
    <t>（二）水 路</t>
  </si>
  <si>
    <t>固定资产投资完成情况</t>
  </si>
  <si>
    <t>一、固定资产投资</t>
  </si>
  <si>
    <t xml:space="preserve">       基础设施 </t>
  </si>
  <si>
    <t xml:space="preserve">          #城市建设</t>
  </si>
  <si>
    <t xml:space="preserve">           交通运输基础设施投资</t>
  </si>
  <si>
    <t xml:space="preserve">       房地产开发</t>
  </si>
  <si>
    <t xml:space="preserve">       工业</t>
  </si>
  <si>
    <t xml:space="preserve">          #技术改造</t>
  </si>
  <si>
    <t xml:space="preserve">    按注册类型分：国有经济投资</t>
  </si>
  <si>
    <t xml:space="preserve">                  民间投资</t>
  </si>
  <si>
    <t xml:space="preserve">                  港澳台及外商投资</t>
  </si>
  <si>
    <t xml:space="preserve">    按产业分：第一产业</t>
  </si>
  <si>
    <t xml:space="preserve">              第二产业</t>
  </si>
  <si>
    <t xml:space="preserve">              第三产业</t>
  </si>
  <si>
    <t>二、施工项目个数</t>
  </si>
  <si>
    <t xml:space="preserve">      #亿元以上项目</t>
  </si>
  <si>
    <t xml:space="preserve">      #工业新增项目</t>
  </si>
  <si>
    <t>三、本年施工房屋面积</t>
  </si>
  <si>
    <t xml:space="preserve">       #住宅</t>
  </si>
  <si>
    <t>四、竣工面积</t>
  </si>
  <si>
    <t>五、商品房销售面积</t>
  </si>
  <si>
    <t>六、商品房销售额</t>
  </si>
  <si>
    <t>一、社会消费品零售总额</t>
  </si>
  <si>
    <t>（一）按销售单位所在地分</t>
  </si>
  <si>
    <t xml:space="preserve">       1.城镇</t>
  </si>
  <si>
    <t xml:space="preserve">       2.乡村</t>
  </si>
  <si>
    <t>（二）按行业分</t>
  </si>
  <si>
    <t xml:space="preserve">       1.批发零售贸易业</t>
  </si>
  <si>
    <t xml:space="preserve">       2.住宿和餐饮业</t>
  </si>
  <si>
    <t>（三）限额以上批发和零售业消费品零售额</t>
  </si>
  <si>
    <t xml:space="preserve">      粮油、食品、饮料、烟酒类</t>
  </si>
  <si>
    <t xml:space="preserve">      服装鞋帽针纺织品类</t>
  </si>
  <si>
    <t xml:space="preserve">      化妆品类</t>
  </si>
  <si>
    <t xml:space="preserve">      金银珠宝类</t>
  </si>
  <si>
    <t xml:space="preserve">      日用品类</t>
  </si>
  <si>
    <t xml:space="preserve">      五金电料类</t>
  </si>
  <si>
    <t xml:space="preserve">      体育娱乐用品类</t>
  </si>
  <si>
    <t xml:space="preserve">      书报杂志类</t>
  </si>
  <si>
    <t xml:space="preserve">      电子出版物及音像制品类</t>
  </si>
  <si>
    <t xml:space="preserve">      家用电器和音像器材类</t>
  </si>
  <si>
    <t xml:space="preserve">      中西药品类</t>
  </si>
  <si>
    <t xml:space="preserve">      文化办公用品类</t>
  </si>
  <si>
    <t xml:space="preserve">      家具类</t>
  </si>
  <si>
    <t xml:space="preserve">      通讯器材类</t>
  </si>
  <si>
    <t xml:space="preserve">      石油及制品类</t>
  </si>
  <si>
    <t xml:space="preserve">      建筑及装潢材料类</t>
  </si>
  <si>
    <t xml:space="preserve">      机电产品及设备类</t>
  </si>
  <si>
    <t xml:space="preserve">      汽车类</t>
  </si>
  <si>
    <t xml:space="preserve">      其他类</t>
  </si>
  <si>
    <t>财政收支情况</t>
  </si>
  <si>
    <t>单位:亿元</t>
  </si>
  <si>
    <t>增长％</t>
  </si>
  <si>
    <t xml:space="preserve">     地方一般公共预算收入</t>
  </si>
  <si>
    <t xml:space="preserve">       ＃税收收入</t>
  </si>
  <si>
    <t xml:space="preserve">            ＃增值税</t>
  </si>
  <si>
    <t xml:space="preserve">              企业所得税</t>
  </si>
  <si>
    <t xml:space="preserve">              个人所得税</t>
  </si>
  <si>
    <t xml:space="preserve">         非税收入</t>
  </si>
  <si>
    <t xml:space="preserve">    地方一般公共预算支出</t>
  </si>
  <si>
    <t xml:space="preserve">        ＃一般公共服务</t>
  </si>
  <si>
    <t xml:space="preserve">          科学技术</t>
  </si>
  <si>
    <t xml:space="preserve">          民生支出合计</t>
  </si>
  <si>
    <r>
      <t xml:space="preserve">             </t>
    </r>
    <r>
      <rPr>
        <vertAlign val="superscript"/>
        <sz val="12"/>
        <rFont val="宋体"/>
        <family val="3"/>
        <charset val="134"/>
      </rPr>
      <t>＃</t>
    </r>
    <r>
      <rPr>
        <sz val="12"/>
        <rFont val="宋体"/>
        <family val="3"/>
        <charset val="134"/>
      </rPr>
      <t>教育</t>
    </r>
  </si>
  <si>
    <t xml:space="preserve">              文化体育与传媒</t>
  </si>
  <si>
    <t xml:space="preserve">              社会保障和就业</t>
  </si>
  <si>
    <t xml:space="preserve">              医疗卫生和计划生育</t>
  </si>
  <si>
    <t xml:space="preserve">              节能环保</t>
  </si>
  <si>
    <t xml:space="preserve">              城乡社区事务</t>
  </si>
  <si>
    <t xml:space="preserve">              农林水事务</t>
  </si>
  <si>
    <t xml:space="preserve">              交通运输</t>
  </si>
  <si>
    <t xml:space="preserve">              住房保障支出</t>
  </si>
  <si>
    <t xml:space="preserve">              粮油物资储备事务</t>
  </si>
  <si>
    <t>注：财政数据由湛江市财政局提供。</t>
  </si>
  <si>
    <t>金  融</t>
  </si>
  <si>
    <t>本月余额</t>
  </si>
  <si>
    <t>金融机构本外币各项存款余额</t>
  </si>
  <si>
    <r>
      <rPr>
        <sz val="12"/>
        <rFont val="宋体"/>
        <family val="3"/>
        <charset val="134"/>
      </rPr>
      <t>　　（一）</t>
    </r>
    <r>
      <rPr>
        <sz val="12"/>
        <rFont val="宋体"/>
        <family val="3"/>
        <charset val="134"/>
      </rPr>
      <t>境内存款</t>
    </r>
  </si>
  <si>
    <r>
      <rPr>
        <sz val="12"/>
        <rFont val="宋体"/>
        <family val="3"/>
        <charset val="134"/>
      </rPr>
      <t>　　　　1</t>
    </r>
    <r>
      <rPr>
        <sz val="12"/>
        <rFont val="宋体"/>
        <family val="3"/>
        <charset val="134"/>
      </rPr>
      <t>.住户存款</t>
    </r>
  </si>
  <si>
    <r>
      <rPr>
        <sz val="12"/>
        <rFont val="宋体"/>
        <family val="3"/>
        <charset val="134"/>
      </rPr>
      <t xml:space="preserve">        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非金融企业存款</t>
    </r>
  </si>
  <si>
    <r>
      <rPr>
        <sz val="12"/>
        <rFont val="宋体"/>
        <family val="3"/>
        <charset val="134"/>
      </rPr>
      <t xml:space="preserve">        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.广义政府存款</t>
    </r>
  </si>
  <si>
    <t xml:space="preserve">        4.非银行业金融机构存款</t>
  </si>
  <si>
    <t>　　（二）境外存款</t>
  </si>
  <si>
    <t>金融机构本外币各项贷款余额</t>
  </si>
  <si>
    <r>
      <rPr>
        <sz val="12"/>
        <rFont val="宋体"/>
        <family val="3"/>
        <charset val="134"/>
      </rPr>
      <t>　　（一）</t>
    </r>
    <r>
      <rPr>
        <sz val="12"/>
        <rFont val="宋体"/>
        <family val="3"/>
        <charset val="134"/>
      </rPr>
      <t>境内贷款</t>
    </r>
  </si>
  <si>
    <r>
      <rPr>
        <sz val="12"/>
        <rFont val="宋体"/>
        <family val="3"/>
        <charset val="134"/>
      </rPr>
      <t>　　　　1</t>
    </r>
    <r>
      <rPr>
        <sz val="12"/>
        <rFont val="宋体"/>
        <family val="3"/>
        <charset val="134"/>
      </rPr>
      <t>.住户贷款</t>
    </r>
  </si>
  <si>
    <r>
      <rPr>
        <sz val="12"/>
        <rFont val="宋体"/>
        <family val="3"/>
        <charset val="134"/>
      </rPr>
      <t xml:space="preserve">        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.非金融企业及机关团体贷款</t>
    </r>
  </si>
  <si>
    <t xml:space="preserve">        3.非银行业金融机构贷款</t>
  </si>
  <si>
    <t>　　（二）境外贷款</t>
  </si>
  <si>
    <t>金融机构人民币各项存款余额</t>
  </si>
  <si>
    <t>　　　　　　其中：活期存款</t>
  </si>
  <si>
    <t>　　　　　　其中：机关团体存款</t>
  </si>
  <si>
    <t>金融机构人民币各项贷款余额</t>
  </si>
  <si>
    <r>
      <rPr>
        <sz val="12"/>
        <rFont val="宋体"/>
        <family val="3"/>
        <charset val="134"/>
      </rPr>
      <t>　　　　　　</t>
    </r>
    <r>
      <rPr>
        <sz val="12"/>
        <rFont val="宋体"/>
        <family val="3"/>
        <charset val="134"/>
      </rPr>
      <t>其中：中长期贷款</t>
    </r>
  </si>
  <si>
    <t>　　　　　　其中：短期贷款</t>
  </si>
  <si>
    <r>
      <rPr>
        <sz val="12"/>
        <rFont val="宋体"/>
        <family val="3"/>
        <charset val="134"/>
      </rPr>
      <t xml:space="preserve">　　　　　　 </t>
    </r>
    <r>
      <rPr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>中长期贷款</t>
    </r>
  </si>
  <si>
    <t>注：金融数据由中国人民银行湛江市中心支行提供。</t>
  </si>
  <si>
    <t xml:space="preserve"> 对  外  经  济</t>
  </si>
  <si>
    <t>1月</t>
  </si>
  <si>
    <t>一、外贸进出口总额</t>
  </si>
  <si>
    <t xml:space="preserve">   (一)出口总额</t>
  </si>
  <si>
    <t xml:space="preserve">   1.按主要贸易方式分</t>
  </si>
  <si>
    <t xml:space="preserve">       一般贸易</t>
  </si>
  <si>
    <t xml:space="preserve">       来料加工</t>
  </si>
  <si>
    <t xml:space="preserve">       进料加工</t>
  </si>
  <si>
    <t xml:space="preserve">         保税仓进出境货物</t>
  </si>
  <si>
    <t xml:space="preserve">   2.按主要经济类型分</t>
  </si>
  <si>
    <t xml:space="preserve">       国有企业</t>
  </si>
  <si>
    <t xml:space="preserve">      “三”资企业</t>
  </si>
  <si>
    <t xml:space="preserve">       集体企业</t>
  </si>
  <si>
    <t xml:space="preserve">       私营企业</t>
  </si>
  <si>
    <t xml:space="preserve">   4.按主要国家（地区）分</t>
  </si>
  <si>
    <t>东     盟</t>
  </si>
  <si>
    <t>欧     盟</t>
  </si>
  <si>
    <t>美     国</t>
  </si>
  <si>
    <t>香     港</t>
  </si>
  <si>
    <t>墨 西 哥</t>
  </si>
  <si>
    <t xml:space="preserve">  (二)进口总额</t>
  </si>
  <si>
    <t xml:space="preserve">  按主要贸易方式分</t>
  </si>
  <si>
    <t xml:space="preserve">    一般贸易</t>
  </si>
  <si>
    <t xml:space="preserve">    来料加工</t>
  </si>
  <si>
    <t xml:space="preserve">    进料加工</t>
  </si>
  <si>
    <t xml:space="preserve">      保税仓进出境货物</t>
  </si>
  <si>
    <t>二、使用外资金额 （1-2月）</t>
  </si>
  <si>
    <t xml:space="preserve">      外商直接投资项目个数 </t>
  </si>
  <si>
    <t xml:space="preserve">      合同利用外商直接投资</t>
  </si>
  <si>
    <t xml:space="preserve">      实际利用外商直接投资</t>
  </si>
  <si>
    <t>注:对外经济数据由湛江市商务局提供</t>
  </si>
  <si>
    <t xml:space="preserve">              </t>
  </si>
  <si>
    <t>人 民 生 活</t>
  </si>
  <si>
    <t xml:space="preserve">        单位：元</t>
  </si>
  <si>
    <t>一、居民人均可支配收入</t>
  </si>
  <si>
    <t xml:space="preserve">    1、工资性收入</t>
  </si>
  <si>
    <t xml:space="preserve">    2、经营净收入</t>
  </si>
  <si>
    <t xml:space="preserve">    3、财产净收入</t>
  </si>
  <si>
    <t xml:space="preserve">    4、转移净收入</t>
  </si>
  <si>
    <t>其中：城镇常住居民人均可支配收入</t>
  </si>
  <si>
    <t xml:space="preserve">      农村常住居民人均可支配收入</t>
  </si>
  <si>
    <t>二、居民人均消费支出</t>
  </si>
  <si>
    <t xml:space="preserve">    1、食品烟酒</t>
  </si>
  <si>
    <t xml:space="preserve">    2、衣着</t>
  </si>
  <si>
    <t xml:space="preserve">    3、居住</t>
  </si>
  <si>
    <t xml:space="preserve">    4、生活用品及服务</t>
  </si>
  <si>
    <t xml:space="preserve">    5、交通通信</t>
  </si>
  <si>
    <t xml:space="preserve">    6、教育文化娱乐</t>
  </si>
  <si>
    <t xml:space="preserve">    7、医疗保健</t>
  </si>
  <si>
    <t xml:space="preserve">    8、其他用品和服务</t>
  </si>
  <si>
    <t>其中：城镇常住居民人均消费支出</t>
  </si>
  <si>
    <t xml:space="preserve">      农村常住居民人均消费支出</t>
  </si>
  <si>
    <t>注:居民收支数据由国家统计局湛江调查队提供。</t>
  </si>
  <si>
    <t xml:space="preserve">  居民消费价格指数</t>
  </si>
  <si>
    <r>
      <rPr>
        <sz val="12"/>
        <rFont val="宋体"/>
        <family val="3"/>
        <charset val="134"/>
      </rPr>
      <t xml:space="preserve">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单位：%</t>
    </r>
  </si>
  <si>
    <t>上年同月=100</t>
  </si>
  <si>
    <t>上年同期=100</t>
  </si>
  <si>
    <t>一、居民消费价格总指数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</si>
  <si>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</si>
  <si>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</si>
  <si>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</si>
  <si>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</si>
  <si>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</si>
  <si>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</si>
  <si>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</si>
  <si>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</si>
  <si>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</si>
  <si>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</si>
  <si>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</si>
  <si>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</si>
  <si>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</si>
  <si>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</si>
  <si>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</si>
  <si>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服务项目价格指数</t>
  </si>
  <si>
    <t>二、商品零售价格指数（%）</t>
  </si>
  <si>
    <t>注:价格指数数据由国家统计局湛江调查队提供。</t>
  </si>
  <si>
    <t>各县（市、 区）主要经济指标完成情况（一）</t>
  </si>
  <si>
    <t xml:space="preserve">  单位：亿元</t>
  </si>
  <si>
    <t>市  别</t>
  </si>
  <si>
    <t>增速排位</t>
  </si>
  <si>
    <t>一、生产总值</t>
  </si>
  <si>
    <t xml:space="preserve">     全  市</t>
  </si>
  <si>
    <t>_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</si>
  <si>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</si>
  <si>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</si>
  <si>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</si>
  <si>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</si>
  <si>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开发区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</si>
  <si>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</si>
  <si>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</si>
  <si>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</si>
  <si>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</si>
  <si>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</si>
  <si>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>二、第一产业增加值</t>
  </si>
  <si>
    <t>注：地区生产总值（GDP）按季度核算。</t>
  </si>
  <si>
    <t>各县（市、 区）主要经济指标完成情况（二）</t>
  </si>
  <si>
    <t xml:space="preserve"> 单位：亿元</t>
  </si>
  <si>
    <t>三、第二产业增加值</t>
  </si>
  <si>
    <t>四、第三产业增加值</t>
  </si>
  <si>
    <t>各县（市、 区）主要经济指标完成情况（三）</t>
  </si>
  <si>
    <t>五：工业增加值</t>
  </si>
  <si>
    <t>六、规模以上工业产品销售产值（2019年1-2月）</t>
  </si>
  <si>
    <t xml:space="preserve">       其中：奋勇新区</t>
  </si>
  <si>
    <t xml:space="preserve">  总计中：开发区</t>
  </si>
  <si>
    <t>各县（市、 区）主要经济指标完成情况（四）</t>
  </si>
  <si>
    <t>七、规模以上工业增加值</t>
  </si>
  <si>
    <t>八、规模以上工业总产值</t>
  </si>
  <si>
    <t>各县（市、 区）主要经济指标完成情况（五）</t>
  </si>
  <si>
    <t>九、规模以上产品销售率(%)</t>
  </si>
  <si>
    <t>十、规模以上工业产品出口交货值（亿元）</t>
  </si>
  <si>
    <t>各县（市、 区）主要经济指标完成情况（六）</t>
  </si>
  <si>
    <t>十一、规模以上工业企业经济效益综合指数(%)</t>
  </si>
  <si>
    <t>十二、规模以上工业企业单位数（个）</t>
  </si>
  <si>
    <t>各县（市、 区）主要经济指标完成情况（七）</t>
  </si>
  <si>
    <t>十三、规模以上工业亏损企业数（个）</t>
  </si>
  <si>
    <t>十四、规模以上工业企业主营业务收入(亿元)</t>
  </si>
  <si>
    <t>各县（市、 区）主要经济指标完成情况（八）</t>
  </si>
  <si>
    <t>十五、规模以上工业企业利润总额</t>
  </si>
  <si>
    <t>十六、规模以上工业企业亏损额</t>
  </si>
  <si>
    <t>各县（市、 区）主要经济指标完成情况（九）</t>
  </si>
  <si>
    <t>十七、规模以上工业企业利税总额</t>
  </si>
  <si>
    <t>十八、规模以上工业企业资产合计</t>
  </si>
  <si>
    <t>各县（市、 区）主要经济指标完成情况（十）</t>
  </si>
  <si>
    <t>十九、规模以上工业企业负债合计</t>
  </si>
  <si>
    <t>二十、规模以上工业企业应收账款净额</t>
  </si>
  <si>
    <t>各县（市、 区）主要经济指标完成情况（十一）</t>
  </si>
  <si>
    <t>二十一、规模以上工业企业产成品存货</t>
  </si>
  <si>
    <t>二十二、规模以上工业企业利息支出</t>
  </si>
  <si>
    <t>各县（市、 区）主要经济指标完成情况（十二）</t>
  </si>
  <si>
    <t>二十三、规模以上工业企业全部平均人数(人）</t>
  </si>
  <si>
    <t>二十四、规模以上工业企业资产贡献率（%）</t>
  </si>
  <si>
    <t>各县（市、 区）主要经济指标完成情况（十三）</t>
  </si>
  <si>
    <t xml:space="preserve"> 单位：%</t>
  </si>
  <si>
    <t>二十五、规模以上工业企业资产增值率</t>
  </si>
  <si>
    <t>二十六、规模以上工业企业资产负债率</t>
  </si>
  <si>
    <t>各县（市、 区）主要经济指标完成情况（十四）</t>
  </si>
  <si>
    <t>二十七、规模以上工业企业流动资产周转率</t>
  </si>
  <si>
    <t>二十八、规模以上工业企业成本利润率</t>
  </si>
  <si>
    <t>各县（市、 区）主要经济指标完成情况（十五）</t>
  </si>
  <si>
    <t>二十九、社会消费品零售总额</t>
  </si>
  <si>
    <t>三十、固定资产投资</t>
  </si>
  <si>
    <t>各县（市、 区）主要经济指标完成情况（十六）</t>
  </si>
  <si>
    <t>其中：工业投资</t>
  </si>
  <si>
    <t xml:space="preserve">  其中：工业技改投资</t>
  </si>
  <si>
    <t>各县（市、 区）主要经济指标完成情况（十七）</t>
  </si>
  <si>
    <t xml:space="preserve">  </t>
  </si>
  <si>
    <t>三十一、房地产开发投资（亿元）</t>
  </si>
  <si>
    <t>三十二、商品房销售面积（万平方米）</t>
  </si>
  <si>
    <t>各县（市、 区）主要经济指标完成情况（十八）</t>
  </si>
  <si>
    <t>三十三、地方一般公共预算收入</t>
  </si>
  <si>
    <t>三十四、地方一般公共预算支出</t>
  </si>
  <si>
    <t>注：实际使用外资按原口径统计。</t>
  </si>
  <si>
    <t>各县（市、 区）主要经济指标完成情况（十九）</t>
  </si>
  <si>
    <t>三十五、进出口总额（亿元）1月</t>
  </si>
  <si>
    <t>三十六、实际使用外资（万美元）</t>
  </si>
  <si>
    <t xml:space="preserve"> 市    别 </t>
  </si>
  <si>
    <t>增长（%）</t>
  </si>
  <si>
    <t>湛江市</t>
  </si>
  <si>
    <t>茂名市</t>
  </si>
  <si>
    <t>阳江市</t>
  </si>
  <si>
    <t>全  国</t>
  </si>
  <si>
    <t>全  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</si>
  <si>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</si>
  <si>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</si>
  <si>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</si>
  <si>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</si>
  <si>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</si>
  <si>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</si>
  <si>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</si>
  <si>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</si>
  <si>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</si>
  <si>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</si>
  <si>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</si>
  <si>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</si>
  <si>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</si>
  <si>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肇庆市</t>
  </si>
  <si>
    <t>清远市</t>
  </si>
  <si>
    <t>潮州市</t>
  </si>
  <si>
    <t>揭阳市</t>
  </si>
  <si>
    <t>云浮市</t>
  </si>
  <si>
    <t>全国及全省各市主要经济指标完成情况（五）</t>
  </si>
  <si>
    <t>地税收入</t>
  </si>
  <si>
    <t>国税收入</t>
  </si>
  <si>
    <t>1-5月</t>
  </si>
  <si>
    <t>规模以上工业增加值序列</t>
  </si>
  <si>
    <t xml:space="preserve">  单位：万元</t>
  </si>
  <si>
    <t>时间</t>
  </si>
  <si>
    <t xml:space="preserve">  累计</t>
  </si>
  <si>
    <t>累计增长%</t>
  </si>
  <si>
    <t>月份</t>
  </si>
  <si>
    <t>2016年</t>
  </si>
  <si>
    <t>2017年</t>
  </si>
  <si>
    <t>累计数</t>
  </si>
  <si>
    <t>增速%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</si>
  <si>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</si>
  <si>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</si>
  <si>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</si>
  <si>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</si>
  <si>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</si>
  <si>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</si>
  <si>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</si>
  <si>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</si>
  <si>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</si>
  <si>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</si>
  <si>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2019年</t>
  </si>
  <si>
    <t>单位：亿元、亿美元</t>
  </si>
  <si>
    <t>注：2016年起，进出口总额数据以人民币计价。</t>
  </si>
  <si>
    <t>一般公共预算收入</t>
  </si>
  <si>
    <t>备注：地方一般公共预算收入增速为可比口径增长</t>
  </si>
  <si>
    <t>同比增减
百分点</t>
  </si>
  <si>
    <t>累计指数</t>
  </si>
  <si>
    <t>工业用电量</t>
  </si>
  <si>
    <t>单位：亿千瓦时</t>
  </si>
  <si>
    <t>固定资产投资序列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</si>
  <si>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单位：万元</t>
    </r>
  </si>
  <si>
    <t>社会消费品零售总额序列</t>
  </si>
  <si>
    <t>出口序列</t>
  </si>
  <si>
    <t xml:space="preserve">    单位：万元</t>
  </si>
  <si>
    <t>外贸出口总额</t>
  </si>
  <si>
    <t>地方一般公共预算收入序列</t>
  </si>
  <si>
    <t>工业用电量序列</t>
  </si>
  <si>
    <t xml:space="preserve">  单位：亿千瓦时</t>
  </si>
  <si>
    <t>（上年同期＝100）单位：%</t>
  </si>
  <si>
    <t>当月</t>
  </si>
  <si>
    <t>累计</t>
  </si>
</sst>
</file>

<file path=xl/styles.xml><?xml version="1.0" encoding="utf-8"?>
<styleSheet xmlns="http://schemas.openxmlformats.org/spreadsheetml/2006/main">
  <numFmts count="37">
    <numFmt numFmtId="41" formatCode="_ * #,##0_ ;_ * \-#,##0_ ;_ * &quot;-&quot;_ ;_ @_ "/>
    <numFmt numFmtId="43" formatCode="_ * #,##0.00_ ;_ * \-#,##0.00_ ;_ * &quot;-&quot;??_ ;_ @_ "/>
    <numFmt numFmtId="176" formatCode="_-* #,##0.00&quot;$&quot;_-;\-* #,##0.00&quot;$&quot;_-;_-* &quot;-&quot;??&quot;$&quot;_-;_-@_-"/>
    <numFmt numFmtId="177" formatCode="yy\.mm\.dd"/>
    <numFmt numFmtId="178" formatCode="&quot;$&quot;#,##0.00_);[Red]\(&quot;$&quot;#,##0.00\)"/>
    <numFmt numFmtId="179" formatCode="&quot;$&quot;\ #,##0_-;[Red]&quot;$&quot;\ #,##0\-"/>
    <numFmt numFmtId="180" formatCode="\$#,##0.00;\(\$#,##0.00\)"/>
    <numFmt numFmtId="181" formatCode="0.00_)"/>
    <numFmt numFmtId="182" formatCode="_-&quot;$&quot;* #,##0_-;\-&quot;$&quot;* #,##0_-;_-&quot;$&quot;* &quot;-&quot;_-;_-@_-"/>
    <numFmt numFmtId="183" formatCode="&quot;$&quot;\ #,##0.00_-;[Red]&quot;$&quot;\ #,##0.00\-"/>
    <numFmt numFmtId="184" formatCode="0_ "/>
    <numFmt numFmtId="185" formatCode="0_);\(0\)"/>
    <numFmt numFmtId="186" formatCode="_(&quot;$&quot;* #,##0.00_);_(&quot;$&quot;* \(#,##0.00\);_(&quot;$&quot;* &quot;-&quot;??_);_(@_)"/>
    <numFmt numFmtId="187" formatCode="#,##0;\-#,##0;&quot;-&quot;"/>
    <numFmt numFmtId="188" formatCode="0.0%"/>
    <numFmt numFmtId="189" formatCode="#,##0;\(#,##0\)"/>
    <numFmt numFmtId="190" formatCode="0_);[Red]\(0\)"/>
    <numFmt numFmtId="191" formatCode="_-* #,##0.00_-;\-* #,##0.00_-;_-* &quot;-&quot;??_-;_-@_-"/>
    <numFmt numFmtId="192" formatCode="_ * #,##0.0_ ;_ * \-#,##0.0_ ;_ * &quot;-&quot;??_ ;_ @_ "/>
    <numFmt numFmtId="193" formatCode="_-&quot;$&quot;\ * #,##0.00_-;_-&quot;$&quot;\ * #,##0.00\-;_-&quot;$&quot;\ * &quot;-&quot;??_-;_-@_-"/>
    <numFmt numFmtId="194" formatCode="#,##0.0_);\(#,##0.0\)"/>
    <numFmt numFmtId="195" formatCode="\$#,##0;\(\$#,##0\)"/>
    <numFmt numFmtId="196" formatCode="_-&quot;$&quot;\ * #,##0_-;_-&quot;$&quot;\ * #,##0\-;_-&quot;$&quot;\ * &quot;-&quot;_-;_-@_-"/>
    <numFmt numFmtId="197" formatCode="0.0"/>
    <numFmt numFmtId="198" formatCode="0.00_);[Red]\(0.00\)"/>
    <numFmt numFmtId="199" formatCode="&quot;$&quot;#,##0_);[Red]\(&quot;$&quot;#,##0\)"/>
    <numFmt numFmtId="200" formatCode="0.0_ ;[Red]\-0.0\ "/>
    <numFmt numFmtId="201" formatCode="_(&quot;$&quot;* #,##0_);_(&quot;$&quot;* \(#,##0\);_(&quot;$&quot;* &quot;-&quot;_);_(@_)"/>
    <numFmt numFmtId="202" formatCode="0.0_ "/>
    <numFmt numFmtId="203" formatCode="_-* #,##0_$_-;\-* #,##0_$_-;_-* &quot;-&quot;_$_-;_-@_-"/>
    <numFmt numFmtId="204" formatCode="0;_؄"/>
    <numFmt numFmtId="205" formatCode="_-* #,##0.00_$_-;\-* #,##0.00_$_-;_-* &quot;-&quot;??_$_-;_-@_-"/>
    <numFmt numFmtId="206" formatCode="0.00;_׿"/>
    <numFmt numFmtId="207" formatCode="_-* #,##0&quot;$&quot;_-;\-* #,##0&quot;$&quot;_-;_-* &quot;-&quot;&quot;$&quot;_-;_-@_-"/>
    <numFmt numFmtId="208" formatCode="0.0_);[Red]\(0.0\)"/>
    <numFmt numFmtId="209" formatCode="0.00_ "/>
    <numFmt numFmtId="210" formatCode="0.0000_ "/>
  </numFmts>
  <fonts count="105">
    <font>
      <sz val="12"/>
      <name val="宋体"/>
      <charset val="134"/>
    </font>
    <font>
      <sz val="8"/>
      <name val="宋体"/>
      <family val="3"/>
      <charset val="134"/>
    </font>
    <font>
      <sz val="10"/>
      <name val="Arial"/>
      <family val="2"/>
    </font>
    <font>
      <b/>
      <sz val="18"/>
      <name val="方正小标宋简体"/>
      <charset val="134"/>
    </font>
    <font>
      <sz val="10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8"/>
      <color indexed="10"/>
      <name val="方正小标宋简体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2"/>
      <color indexed="10"/>
      <name val="黑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Times New Roman"/>
      <family val="1"/>
    </font>
    <font>
      <sz val="9"/>
      <name val="Times New Roman"/>
      <family val="1"/>
    </font>
    <font>
      <sz val="10.5"/>
      <name val="Times New Roman"/>
      <family val="1"/>
    </font>
    <font>
      <sz val="14"/>
      <name val="仿宋_GB2312"/>
      <charset val="134"/>
    </font>
    <font>
      <sz val="12"/>
      <name val="Arial"/>
      <family val="2"/>
    </font>
    <font>
      <b/>
      <sz val="14"/>
      <name val="方正小标宋简体"/>
      <charset val="134"/>
    </font>
    <font>
      <b/>
      <sz val="12"/>
      <name val="黑体"/>
      <family val="3"/>
      <charset val="134"/>
    </font>
    <font>
      <sz val="11"/>
      <name val="Arial Unicode MS"/>
      <family val="2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6"/>
      <name val="宋体"/>
      <family val="3"/>
      <charset val="134"/>
    </font>
    <font>
      <sz val="12"/>
      <name val="黑体"/>
      <family val="3"/>
      <charset val="134"/>
    </font>
    <font>
      <sz val="11"/>
      <name val="宋体"/>
      <family val="3"/>
      <charset val="134"/>
    </font>
    <font>
      <sz val="10"/>
      <name val="仿宋_GB2312"/>
      <charset val="134"/>
    </font>
    <font>
      <sz val="12"/>
      <name val="Times New Roman"/>
      <family val="1"/>
    </font>
    <font>
      <b/>
      <sz val="10"/>
      <name val="宋体"/>
      <family val="3"/>
      <charset val="134"/>
    </font>
    <font>
      <b/>
      <sz val="10"/>
      <name val="仿宋_GB2312"/>
      <charset val="134"/>
    </font>
    <font>
      <sz val="7.5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6"/>
      <name val="宋体"/>
      <family val="3"/>
      <charset val="134"/>
    </font>
    <font>
      <sz val="10.5"/>
      <name val="宋体"/>
      <family val="3"/>
      <charset val="134"/>
    </font>
    <font>
      <b/>
      <sz val="18"/>
      <name val="黑体"/>
      <family val="3"/>
      <charset val="134"/>
    </font>
    <font>
      <sz val="11"/>
      <color indexed="2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????"/>
      <family val="1"/>
    </font>
    <font>
      <sz val="11"/>
      <color indexed="9"/>
      <name val="宋体"/>
      <family val="3"/>
      <charset val="134"/>
    </font>
    <font>
      <b/>
      <sz val="14"/>
      <name val="楷体"/>
      <family val="3"/>
      <charset val="134"/>
    </font>
    <font>
      <sz val="12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0"/>
      <name val="Geneva"/>
      <family val="1"/>
    </font>
    <font>
      <sz val="10"/>
      <name val="楷体"/>
      <family val="3"/>
      <charset val="134"/>
    </font>
    <font>
      <b/>
      <sz val="10"/>
      <name val="Tms Rmn"/>
      <family val="1"/>
    </font>
    <font>
      <sz val="12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2"/>
      <name val="Arial"/>
      <family val="2"/>
    </font>
    <font>
      <b/>
      <sz val="11"/>
      <color indexed="63"/>
      <name val="宋体"/>
      <family val="3"/>
      <charset val="134"/>
    </font>
    <font>
      <sz val="12"/>
      <color indexed="20"/>
      <name val="宋体"/>
      <family val="3"/>
      <charset val="134"/>
    </font>
    <font>
      <sz val="12"/>
      <color indexed="8"/>
      <name val="楷体_GB2312"/>
      <charset val="134"/>
    </font>
    <font>
      <sz val="10.5"/>
      <color indexed="20"/>
      <name val="宋体"/>
      <family val="3"/>
      <charset val="134"/>
    </font>
    <font>
      <sz val="10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0"/>
      <name val="Helv"/>
      <family val="2"/>
    </font>
    <font>
      <b/>
      <sz val="11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7"/>
      <name val="Small Fonts"/>
      <family val="2"/>
    </font>
    <font>
      <sz val="11"/>
      <color indexed="62"/>
      <name val="宋体"/>
      <family val="3"/>
      <charset val="134"/>
    </font>
    <font>
      <sz val="10"/>
      <name val="Courier"/>
      <family val="3"/>
    </font>
    <font>
      <sz val="8"/>
      <name val="Times New Roman"/>
      <family val="1"/>
    </font>
    <font>
      <sz val="10.5"/>
      <color indexed="17"/>
      <name val="宋体"/>
      <family val="3"/>
      <charset val="134"/>
    </font>
    <font>
      <sz val="12"/>
      <color indexed="20"/>
      <name val="楷体_GB2312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color indexed="9"/>
      <name val="楷体_GB2312"/>
      <charset val="134"/>
    </font>
    <font>
      <sz val="12"/>
      <color indexed="10"/>
      <name val="楷体_GB2312"/>
      <charset val="134"/>
    </font>
    <font>
      <sz val="12"/>
      <color indexed="17"/>
      <name val="楷体_GB2312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name val="MS Sans Serif"/>
      <family val="1"/>
    </font>
    <font>
      <b/>
      <sz val="18"/>
      <color indexed="56"/>
      <name val="宋体"/>
      <family val="3"/>
      <charset val="134"/>
    </font>
    <font>
      <b/>
      <sz val="12"/>
      <color indexed="8"/>
      <name val="楷体_GB2312"/>
      <charset val="134"/>
    </font>
    <font>
      <sz val="10"/>
      <color indexed="8"/>
      <name val="Arial"/>
      <family val="2"/>
    </font>
    <font>
      <b/>
      <sz val="18"/>
      <name val="Arial"/>
      <family val="2"/>
    </font>
    <font>
      <sz val="12"/>
      <name val="Helv"/>
      <family val="2"/>
    </font>
    <font>
      <sz val="12"/>
      <color indexed="9"/>
      <name val="Helv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18"/>
      <color indexed="62"/>
      <name val="宋体"/>
      <family val="3"/>
      <charset val="134"/>
    </font>
    <font>
      <i/>
      <sz val="12"/>
      <color indexed="23"/>
      <name val="楷体_GB2312"/>
      <charset val="134"/>
    </font>
    <font>
      <sz val="10"/>
      <color indexed="17"/>
      <name val="宋体"/>
      <family val="3"/>
      <charset val="134"/>
    </font>
    <font>
      <b/>
      <sz val="15"/>
      <color indexed="56"/>
      <name val="楷体_GB2312"/>
      <charset val="134"/>
    </font>
    <font>
      <b/>
      <sz val="13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9"/>
      <name val="Arial"/>
      <family val="2"/>
    </font>
    <font>
      <b/>
      <sz val="12"/>
      <color indexed="63"/>
      <name val="楷体_GB2312"/>
      <charset val="134"/>
    </font>
    <font>
      <sz val="12"/>
      <name val="官帕眉"/>
      <charset val="134"/>
    </font>
    <font>
      <sz val="12"/>
      <color indexed="62"/>
      <name val="楷体_GB2312"/>
      <charset val="134"/>
    </font>
    <font>
      <b/>
      <sz val="12"/>
      <color indexed="52"/>
      <name val="楷体_GB2312"/>
      <charset val="134"/>
    </font>
    <font>
      <b/>
      <sz val="12"/>
      <color indexed="9"/>
      <name val="楷体_GB2312"/>
      <charset val="134"/>
    </font>
    <font>
      <sz val="12"/>
      <color indexed="52"/>
      <name val="楷体_GB2312"/>
      <charset val="134"/>
    </font>
    <font>
      <sz val="12"/>
      <color indexed="60"/>
      <name val="楷体_GB2312"/>
      <charset val="134"/>
    </font>
    <font>
      <sz val="12"/>
      <name val="Courier"/>
      <family val="3"/>
    </font>
    <font>
      <sz val="10"/>
      <name val="MS Sans Serif"/>
      <family val="2"/>
    </font>
    <font>
      <sz val="12"/>
      <name val="바탕체"/>
      <charset val="134"/>
    </font>
    <font>
      <vertAlign val="superscript"/>
      <sz val="12"/>
      <name val="宋体"/>
      <family val="3"/>
      <charset val="134"/>
    </font>
    <font>
      <sz val="12"/>
      <name val="宋体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0"/>
        <bgColor indexed="64"/>
      </patternFill>
    </fill>
    <fill>
      <patternFill patternType="solid">
        <fgColor indexed="25"/>
        <bgColor indexed="64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22"/>
      </bottom>
      <diagonal/>
    </border>
    <border>
      <left style="thin">
        <color indexed="8"/>
      </left>
      <right/>
      <top style="thin">
        <color indexed="22"/>
      </top>
      <bottom/>
      <diagonal/>
    </border>
    <border>
      <left style="thin">
        <color indexed="8"/>
      </left>
      <right/>
      <top/>
      <bottom style="thin">
        <color indexed="22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auto="1"/>
      </right>
      <top/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28">
    <xf numFmtId="0" fontId="0" fillId="0" borderId="0"/>
    <xf numFmtId="0" fontId="43" fillId="0" borderId="0"/>
    <xf numFmtId="0" fontId="43" fillId="0" borderId="0"/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04" fillId="0" borderId="0"/>
    <xf numFmtId="0" fontId="104" fillId="0" borderId="0"/>
    <xf numFmtId="0" fontId="38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3" fillId="0" borderId="0"/>
    <xf numFmtId="0" fontId="38" fillId="12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51" fillId="8" borderId="0" applyNumberFormat="0" applyBorder="0" applyAlignment="0" applyProtection="0"/>
    <xf numFmtId="0" fontId="20" fillId="16" borderId="0" applyNumberFormat="0" applyBorder="0" applyAlignment="0" applyProtection="0"/>
    <xf numFmtId="0" fontId="37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43" fontId="104" fillId="0" borderId="0" applyFont="0" applyFill="0" applyBorder="0" applyAlignment="0" applyProtection="0"/>
    <xf numFmtId="0" fontId="55" fillId="4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/>
    <xf numFmtId="0" fontId="37" fillId="5" borderId="0" applyNumberFormat="0" applyBorder="0" applyAlignment="0" applyProtection="0">
      <alignment vertical="center"/>
    </xf>
    <xf numFmtId="0" fontId="104" fillId="0" borderId="0"/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/>
    <xf numFmtId="0" fontId="53" fillId="0" borderId="29">
      <alignment horizontal="left" vertical="center"/>
    </xf>
    <xf numFmtId="0" fontId="53" fillId="0" borderId="29">
      <alignment horizontal="left" vertical="center"/>
    </xf>
    <xf numFmtId="0" fontId="27" fillId="0" borderId="0"/>
    <xf numFmtId="0" fontId="44" fillId="21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04" fillId="0" borderId="0">
      <alignment vertical="center"/>
    </xf>
    <xf numFmtId="0" fontId="38" fillId="19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52" fillId="0" borderId="69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04" fillId="0" borderId="0"/>
    <xf numFmtId="0" fontId="104" fillId="0" borderId="0"/>
    <xf numFmtId="0" fontId="37" fillId="5" borderId="0" applyNumberFormat="0" applyBorder="0" applyAlignment="0" applyProtection="0">
      <alignment vertical="center"/>
    </xf>
    <xf numFmtId="0" fontId="53" fillId="0" borderId="67" applyNumberFormat="0" applyAlignment="0" applyProtection="0">
      <alignment horizontal="left" vertical="center"/>
    </xf>
    <xf numFmtId="0" fontId="53" fillId="0" borderId="67" applyNumberFormat="0" applyAlignment="0" applyProtection="0">
      <alignment horizontal="left" vertical="center"/>
    </xf>
    <xf numFmtId="0" fontId="38" fillId="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104" fillId="0" borderId="0"/>
    <xf numFmtId="0" fontId="104" fillId="0" borderId="0"/>
    <xf numFmtId="0" fontId="38" fillId="19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8" fillId="0" borderId="0"/>
    <xf numFmtId="0" fontId="48" fillId="0" borderId="0"/>
    <xf numFmtId="1" fontId="2" fillId="0" borderId="2" applyFill="0" applyProtection="0">
      <alignment horizontal="center"/>
    </xf>
    <xf numFmtId="0" fontId="56" fillId="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38" fillId="8" borderId="0" applyNumberFormat="0" applyBorder="0" applyAlignment="0" applyProtection="0">
      <alignment vertical="center"/>
    </xf>
    <xf numFmtId="0" fontId="104" fillId="0" borderId="0">
      <alignment vertical="center"/>
    </xf>
    <xf numFmtId="0" fontId="45" fillId="0" borderId="7" applyNumberFormat="0" applyFill="0" applyProtection="0">
      <alignment horizontal="center"/>
    </xf>
    <xf numFmtId="0" fontId="45" fillId="0" borderId="7" applyNumberFormat="0" applyFill="0" applyProtection="0">
      <alignment horizontal="center"/>
    </xf>
    <xf numFmtId="0" fontId="40" fillId="5" borderId="0" applyNumberFormat="0" applyBorder="0" applyAlignment="0" applyProtection="0"/>
    <xf numFmtId="0" fontId="38" fillId="20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3" fillId="0" borderId="0"/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3" fillId="0" borderId="0"/>
    <xf numFmtId="0" fontId="104" fillId="0" borderId="0"/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04" fillId="0" borderId="0">
      <alignment vertical="center"/>
    </xf>
    <xf numFmtId="0" fontId="37" fillId="5" borderId="0" applyNumberFormat="0" applyBorder="0" applyAlignment="0" applyProtection="0">
      <alignment vertical="center"/>
    </xf>
    <xf numFmtId="0" fontId="45" fillId="0" borderId="7" applyNumberFormat="0" applyFill="0" applyProtection="0">
      <alignment horizontal="center"/>
    </xf>
    <xf numFmtId="0" fontId="45" fillId="0" borderId="7" applyNumberFormat="0" applyFill="0" applyProtection="0">
      <alignment horizontal="center"/>
    </xf>
    <xf numFmtId="0" fontId="41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04" fillId="0" borderId="0"/>
    <xf numFmtId="0" fontId="41" fillId="8" borderId="0" applyNumberFormat="0" applyBorder="0" applyAlignment="0" applyProtection="0">
      <alignment vertical="center"/>
    </xf>
    <xf numFmtId="0" fontId="104" fillId="0" borderId="0"/>
    <xf numFmtId="0" fontId="104" fillId="0" borderId="0">
      <alignment vertical="center"/>
    </xf>
    <xf numFmtId="0" fontId="45" fillId="0" borderId="7" applyNumberFormat="0" applyFill="0" applyProtection="0">
      <alignment horizontal="center"/>
    </xf>
    <xf numFmtId="0" fontId="45" fillId="0" borderId="7" applyNumberFormat="0" applyFill="0" applyProtection="0">
      <alignment horizontal="center"/>
    </xf>
    <xf numFmtId="0" fontId="104" fillId="0" borderId="0">
      <alignment vertical="center"/>
    </xf>
    <xf numFmtId="0" fontId="45" fillId="0" borderId="7" applyNumberFormat="0" applyFill="0" applyProtection="0">
      <alignment horizontal="center"/>
    </xf>
    <xf numFmtId="0" fontId="45" fillId="0" borderId="7" applyNumberFormat="0" applyFill="0" applyProtection="0">
      <alignment horizontal="center"/>
    </xf>
    <xf numFmtId="0" fontId="104" fillId="0" borderId="0">
      <alignment vertical="center"/>
    </xf>
    <xf numFmtId="0" fontId="45" fillId="0" borderId="7" applyNumberFormat="0" applyFill="0" applyProtection="0">
      <alignment horizontal="center"/>
    </xf>
    <xf numFmtId="0" fontId="45" fillId="0" borderId="7" applyNumberFormat="0" applyFill="0" applyProtection="0">
      <alignment horizontal="center"/>
    </xf>
    <xf numFmtId="0" fontId="44" fillId="17" borderId="0" applyNumberFormat="0" applyBorder="0" applyAlignment="0" applyProtection="0">
      <alignment vertical="center"/>
    </xf>
    <xf numFmtId="0" fontId="104" fillId="0" borderId="0">
      <alignment vertical="center"/>
    </xf>
    <xf numFmtId="0" fontId="45" fillId="0" borderId="7" applyNumberFormat="0" applyFill="0" applyProtection="0">
      <alignment horizontal="center"/>
    </xf>
    <xf numFmtId="0" fontId="45" fillId="0" borderId="7" applyNumberFormat="0" applyFill="0" applyProtection="0">
      <alignment horizontal="center"/>
    </xf>
    <xf numFmtId="0" fontId="38" fillId="4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50" fillId="14" borderId="5">
      <protection locked="0"/>
    </xf>
    <xf numFmtId="0" fontId="60" fillId="0" borderId="0"/>
    <xf numFmtId="0" fontId="61" fillId="0" borderId="72" applyNumberFormat="0" applyFill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0" borderId="0"/>
    <xf numFmtId="0" fontId="37" fillId="5" borderId="0" applyNumberFormat="0" applyBorder="0" applyAlignment="0" applyProtection="0">
      <alignment vertical="center"/>
    </xf>
    <xf numFmtId="0" fontId="2" fillId="0" borderId="0"/>
    <xf numFmtId="0" fontId="2" fillId="0" borderId="7" applyNumberFormat="0" applyFill="0" applyProtection="0">
      <alignment horizontal="left"/>
    </xf>
    <xf numFmtId="0" fontId="20" fillId="20" borderId="0" applyNumberFormat="0" applyBorder="0" applyAlignment="0" applyProtection="0"/>
    <xf numFmtId="0" fontId="43" fillId="0" borderId="0"/>
    <xf numFmtId="0" fontId="43" fillId="0" borderId="0"/>
    <xf numFmtId="0" fontId="48" fillId="0" borderId="0"/>
    <xf numFmtId="0" fontId="48" fillId="0" borderId="0"/>
    <xf numFmtId="0" fontId="38" fillId="21" borderId="0" applyNumberFormat="0" applyBorder="0" applyAlignment="0" applyProtection="0">
      <alignment vertical="center"/>
    </xf>
    <xf numFmtId="0" fontId="43" fillId="0" borderId="0"/>
    <xf numFmtId="0" fontId="37" fillId="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3" fillId="0" borderId="0"/>
    <xf numFmtId="0" fontId="41" fillId="8" borderId="0" applyNumberFormat="0" applyBorder="0" applyAlignment="0" applyProtection="0">
      <alignment vertical="center"/>
    </xf>
    <xf numFmtId="0" fontId="43" fillId="0" borderId="0"/>
    <xf numFmtId="0" fontId="41" fillId="8" borderId="0" applyNumberFormat="0" applyBorder="0" applyAlignment="0" applyProtection="0">
      <alignment vertical="center"/>
    </xf>
    <xf numFmtId="0" fontId="43" fillId="0" borderId="0"/>
    <xf numFmtId="0" fontId="41" fillId="8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41" fillId="8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8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1" fillId="8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48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1" fillId="8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37" fillId="5" borderId="0" applyNumberFormat="0" applyBorder="0" applyAlignment="0" applyProtection="0">
      <alignment vertical="center"/>
    </xf>
    <xf numFmtId="0" fontId="43" fillId="0" borderId="0"/>
    <xf numFmtId="0" fontId="48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1" fillId="8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48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3" fillId="0" borderId="0"/>
    <xf numFmtId="0" fontId="43" fillId="0" borderId="0"/>
    <xf numFmtId="0" fontId="48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63" fillId="0" borderId="0" applyNumberForma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20" fillId="7" borderId="0" applyNumberFormat="0" applyBorder="0" applyAlignment="0" applyProtection="0"/>
    <xf numFmtId="0" fontId="38" fillId="21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3" fillId="0" borderId="0"/>
    <xf numFmtId="0" fontId="43" fillId="0" borderId="0"/>
    <xf numFmtId="0" fontId="48" fillId="0" borderId="0"/>
    <xf numFmtId="0" fontId="48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3" fillId="0" borderId="0"/>
    <xf numFmtId="0" fontId="43" fillId="0" borderId="0"/>
    <xf numFmtId="0" fontId="37" fillId="5" borderId="0" applyNumberFormat="0" applyBorder="0" applyAlignment="0" applyProtection="0">
      <alignment vertical="center"/>
    </xf>
    <xf numFmtId="0" fontId="43" fillId="0" borderId="0"/>
    <xf numFmtId="0" fontId="48" fillId="0" borderId="0"/>
    <xf numFmtId="0" fontId="48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1" fillId="10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48" fillId="0" borderId="0"/>
    <xf numFmtId="0" fontId="48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3" fillId="0" borderId="0"/>
    <xf numFmtId="0" fontId="48" fillId="0" borderId="0"/>
    <xf numFmtId="0" fontId="48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37" fillId="4" borderId="0" applyNumberFormat="0" applyBorder="0" applyAlignment="0" applyProtection="0">
      <alignment vertical="center"/>
    </xf>
    <xf numFmtId="0" fontId="43" fillId="0" borderId="0"/>
    <xf numFmtId="0" fontId="38" fillId="7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3" fillId="0" borderId="0"/>
    <xf numFmtId="0" fontId="48" fillId="0" borderId="0"/>
    <xf numFmtId="0" fontId="48" fillId="0" borderId="0"/>
    <xf numFmtId="0" fontId="2" fillId="0" borderId="7" applyNumberFormat="0" applyFill="0" applyProtection="0">
      <alignment horizontal="left"/>
    </xf>
    <xf numFmtId="0" fontId="59" fillId="16" borderId="71" applyNumberFormat="0" applyAlignment="0" applyProtection="0">
      <alignment vertical="center"/>
    </xf>
    <xf numFmtId="180" fontId="31" fillId="0" borderId="0"/>
    <xf numFmtId="0" fontId="43" fillId="0" borderId="0"/>
    <xf numFmtId="0" fontId="37" fillId="5" borderId="0" applyNumberFormat="0" applyBorder="0" applyAlignment="0" applyProtection="0">
      <alignment vertical="center"/>
    </xf>
    <xf numFmtId="0" fontId="43" fillId="0" borderId="0"/>
    <xf numFmtId="0" fontId="38" fillId="7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43" fillId="0" borderId="0"/>
    <xf numFmtId="0" fontId="38" fillId="20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3" fillId="0" borderId="0"/>
    <xf numFmtId="0" fontId="41" fillId="10" borderId="0" applyNumberFormat="0" applyBorder="0" applyAlignment="0" applyProtection="0">
      <alignment vertical="center"/>
    </xf>
    <xf numFmtId="0" fontId="27" fillId="0" borderId="0"/>
    <xf numFmtId="0" fontId="38" fillId="12" borderId="0" applyNumberFormat="0" applyBorder="0" applyAlignment="0" applyProtection="0">
      <alignment vertical="center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0" fontId="38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04" fillId="0" borderId="0"/>
    <xf numFmtId="37" fontId="64" fillId="0" borderId="0"/>
    <xf numFmtId="37" fontId="64" fillId="0" borderId="0"/>
    <xf numFmtId="0" fontId="27" fillId="0" borderId="0"/>
    <xf numFmtId="0" fontId="51" fillId="8" borderId="0" applyNumberFormat="0" applyBorder="0" applyAlignment="0" applyProtection="0"/>
    <xf numFmtId="0" fontId="65" fillId="20" borderId="71" applyNumberFormat="0" applyAlignment="0" applyProtection="0">
      <alignment vertical="center"/>
    </xf>
    <xf numFmtId="181" fontId="66" fillId="0" borderId="0"/>
    <xf numFmtId="0" fontId="38" fillId="10" borderId="0" applyNumberFormat="0" applyBorder="0" applyAlignment="0" applyProtection="0">
      <alignment vertical="center"/>
    </xf>
    <xf numFmtId="0" fontId="60" fillId="0" borderId="0"/>
    <xf numFmtId="0" fontId="38" fillId="8" borderId="0" applyNumberFormat="0" applyBorder="0" applyAlignment="0" applyProtection="0">
      <alignment vertical="center"/>
    </xf>
    <xf numFmtId="0" fontId="48" fillId="0" borderId="0"/>
    <xf numFmtId="0" fontId="38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27" fillId="0" borderId="0"/>
    <xf numFmtId="0" fontId="48" fillId="0" borderId="0"/>
    <xf numFmtId="0" fontId="48" fillId="0" borderId="0"/>
    <xf numFmtId="0" fontId="48" fillId="0" borderId="0"/>
    <xf numFmtId="0" fontId="2" fillId="0" borderId="7" applyNumberFormat="0" applyFill="0" applyProtection="0">
      <alignment horizontal="left"/>
    </xf>
    <xf numFmtId="0" fontId="47" fillId="13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2" fillId="11" borderId="73" applyNumberFormat="0" applyAlignment="0" applyProtection="0">
      <alignment vertical="center"/>
    </xf>
    <xf numFmtId="0" fontId="48" fillId="0" borderId="0"/>
    <xf numFmtId="0" fontId="48" fillId="0" borderId="0"/>
    <xf numFmtId="4" fontId="104" fillId="0" borderId="0" applyFont="0" applyFill="0" applyBorder="0" applyAlignment="0" applyProtection="0"/>
    <xf numFmtId="0" fontId="27" fillId="0" borderId="0">
      <protection locked="0"/>
    </xf>
    <xf numFmtId="0" fontId="37" fillId="5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0" fontId="37" fillId="5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37" fillId="5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37" fillId="5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104" fillId="0" borderId="0"/>
    <xf numFmtId="0" fontId="104" fillId="0" borderId="0"/>
    <xf numFmtId="0" fontId="44" fillId="22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38" fillId="20" borderId="0" applyNumberFormat="0" applyBorder="0" applyAlignment="0" applyProtection="0">
      <alignment vertical="center"/>
    </xf>
    <xf numFmtId="0" fontId="51" fillId="8" borderId="0" applyNumberFormat="0" applyBorder="0" applyAlignment="0" applyProtection="0"/>
    <xf numFmtId="0" fontId="48" fillId="0" borderId="0"/>
    <xf numFmtId="0" fontId="104" fillId="0" borderId="0"/>
    <xf numFmtId="0" fontId="104" fillId="0" borderId="0"/>
    <xf numFmtId="0" fontId="38" fillId="19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104" fillId="0" borderId="0"/>
    <xf numFmtId="0" fontId="104" fillId="0" borderId="0"/>
    <xf numFmtId="0" fontId="38" fillId="19" borderId="0" applyNumberFormat="0" applyBorder="0" applyAlignment="0" applyProtection="0">
      <alignment vertical="center"/>
    </xf>
    <xf numFmtId="0" fontId="48" fillId="0" borderId="0"/>
    <xf numFmtId="0" fontId="104" fillId="0" borderId="0"/>
    <xf numFmtId="0" fontId="104" fillId="0" borderId="0"/>
    <xf numFmtId="0" fontId="38" fillId="19" borderId="0" applyNumberFormat="0" applyBorder="0" applyAlignment="0" applyProtection="0">
      <alignment vertical="center"/>
    </xf>
    <xf numFmtId="0" fontId="48" fillId="0" borderId="0"/>
    <xf numFmtId="0" fontId="104" fillId="0" borderId="0"/>
    <xf numFmtId="0" fontId="104" fillId="0" borderId="0"/>
    <xf numFmtId="0" fontId="38" fillId="5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8" fillId="0" borderId="0"/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38" fillId="12" borderId="0" applyNumberFormat="0" applyBorder="0" applyAlignment="0" applyProtection="0">
      <alignment vertical="center"/>
    </xf>
    <xf numFmtId="0" fontId="104" fillId="0" borderId="0"/>
    <xf numFmtId="0" fontId="104" fillId="0" borderId="0"/>
    <xf numFmtId="0" fontId="44" fillId="1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8" fillId="0" borderId="0"/>
    <xf numFmtId="0" fontId="51" fillId="8" borderId="0" applyNumberFormat="0" applyBorder="0" applyAlignment="0" applyProtection="0"/>
    <xf numFmtId="0" fontId="48" fillId="0" borderId="0"/>
    <xf numFmtId="0" fontId="51" fillId="8" borderId="0" applyNumberFormat="0" applyBorder="0" applyAlignment="0" applyProtection="0"/>
    <xf numFmtId="0" fontId="48" fillId="0" borderId="0"/>
    <xf numFmtId="0" fontId="51" fillId="8" borderId="0" applyNumberFormat="0" applyBorder="0" applyAlignment="0" applyProtection="0"/>
    <xf numFmtId="0" fontId="37" fillId="5" borderId="0" applyNumberFormat="0" applyBorder="0" applyAlignment="0" applyProtection="0">
      <alignment vertical="center"/>
    </xf>
    <xf numFmtId="0" fontId="48" fillId="0" borderId="0"/>
    <xf numFmtId="0" fontId="51" fillId="8" borderId="0" applyNumberFormat="0" applyBorder="0" applyAlignment="0" applyProtection="0"/>
    <xf numFmtId="0" fontId="48" fillId="0" borderId="0"/>
    <xf numFmtId="0" fontId="41" fillId="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51" fillId="8" borderId="0" applyNumberFormat="0" applyBorder="0" applyAlignment="0" applyProtection="0"/>
    <xf numFmtId="0" fontId="48" fillId="0" borderId="0"/>
    <xf numFmtId="49" fontId="104" fillId="0" borderId="0" applyFont="0" applyFill="0" applyBorder="0" applyAlignment="0" applyProtection="0"/>
    <xf numFmtId="0" fontId="38" fillId="8" borderId="0" applyNumberFormat="0" applyBorder="0" applyAlignment="0" applyProtection="0">
      <alignment vertical="center"/>
    </xf>
    <xf numFmtId="0" fontId="60" fillId="0" borderId="0"/>
    <xf numFmtId="0" fontId="27" fillId="0" borderId="0"/>
    <xf numFmtId="0" fontId="46" fillId="12" borderId="0" applyNumberFormat="0" applyBorder="0" applyAlignment="0" applyProtection="0"/>
    <xf numFmtId="0" fontId="38" fillId="21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0" fontId="38" fillId="10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8" fillId="10" borderId="0" applyNumberFormat="0" applyBorder="0" applyAlignment="0" applyProtection="0">
      <alignment vertical="center"/>
    </xf>
    <xf numFmtId="0" fontId="48" fillId="0" borderId="0"/>
    <xf numFmtId="0" fontId="38" fillId="4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8" fillId="7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38" fillId="4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68" fillId="10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68" fillId="10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68" fillId="10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68" fillId="10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38" fillId="12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4" fillId="15" borderId="0" applyNumberFormat="0" applyBorder="0" applyAlignment="0" applyProtection="0">
      <alignment vertical="center"/>
    </xf>
    <xf numFmtId="0" fontId="48" fillId="0" borderId="0"/>
    <xf numFmtId="0" fontId="37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8" fillId="0" borderId="0"/>
    <xf numFmtId="0" fontId="38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70" fillId="0" borderId="74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27" fillId="0" borderId="0"/>
    <xf numFmtId="0" fontId="20" fillId="7" borderId="0" applyNumberFormat="0" applyBorder="0" applyAlignment="0" applyProtection="0"/>
    <xf numFmtId="0" fontId="68" fillId="10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7" fillId="0" borderId="0"/>
    <xf numFmtId="0" fontId="20" fillId="7" borderId="0" applyNumberFormat="0" applyBorder="0" applyAlignment="0" applyProtection="0"/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/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/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/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/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/>
    <xf numFmtId="0" fontId="38" fillId="5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/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/>
    <xf numFmtId="0" fontId="38" fillId="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104" fillId="0" borderId="0"/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104" fillId="0" borderId="0"/>
    <xf numFmtId="0" fontId="57" fillId="4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104" fillId="0" borderId="0"/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04" fillId="0" borderId="0"/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/>
    <xf numFmtId="0" fontId="53" fillId="0" borderId="29">
      <alignment horizontal="left" vertical="center"/>
    </xf>
    <xf numFmtId="0" fontId="53" fillId="0" borderId="29">
      <alignment horizontal="left" vertical="center"/>
    </xf>
    <xf numFmtId="0" fontId="38" fillId="19" borderId="0" applyNumberFormat="0" applyBorder="0" applyAlignment="0" applyProtection="0">
      <alignment vertical="center"/>
    </xf>
    <xf numFmtId="0" fontId="104" fillId="0" borderId="0"/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04" fillId="0" borderId="0"/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3" fillId="0" borderId="29">
      <alignment horizontal="left" vertical="center"/>
    </xf>
    <xf numFmtId="0" fontId="53" fillId="0" borderId="29">
      <alignment horizontal="left" vertical="center"/>
    </xf>
    <xf numFmtId="0" fontId="71" fillId="0" borderId="0" applyNumberFormat="0" applyFill="0" applyBorder="0" applyAlignment="0" applyProtection="0">
      <alignment vertical="center"/>
    </xf>
    <xf numFmtId="0" fontId="104" fillId="0" borderId="0">
      <alignment vertical="center"/>
    </xf>
    <xf numFmtId="0" fontId="38" fillId="26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3" fillId="0" borderId="29">
      <alignment horizontal="left" vertical="center"/>
    </xf>
    <xf numFmtId="0" fontId="53" fillId="0" borderId="29">
      <alignment horizontal="left" vertical="center"/>
    </xf>
    <xf numFmtId="0" fontId="71" fillId="0" borderId="0" applyNumberFormat="0" applyFill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3" fillId="0" borderId="29">
      <alignment horizontal="left" vertical="center"/>
    </xf>
    <xf numFmtId="0" fontId="53" fillId="0" borderId="29">
      <alignment horizontal="left" vertical="center"/>
    </xf>
    <xf numFmtId="0" fontId="71" fillId="0" borderId="0" applyNumberFormat="0" applyFill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3" fillId="0" borderId="29">
      <alignment horizontal="left" vertical="center"/>
    </xf>
    <xf numFmtId="0" fontId="53" fillId="0" borderId="29">
      <alignment horizontal="left" vertical="center"/>
    </xf>
    <xf numFmtId="0" fontId="71" fillId="0" borderId="0" applyNumberFormat="0" applyFill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1" fillId="8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6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28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46" fillId="12" borderId="0" applyNumberFormat="0" applyBorder="0" applyAlignment="0" applyProtection="0"/>
    <xf numFmtId="0" fontId="38" fillId="7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6" fillId="12" borderId="0" applyNumberFormat="0" applyBorder="0" applyAlignment="0" applyProtection="0"/>
    <xf numFmtId="0" fontId="38" fillId="7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6" fillId="12" borderId="0" applyNumberFormat="0" applyBorder="0" applyAlignment="0" applyProtection="0"/>
    <xf numFmtId="0" fontId="38" fillId="7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6" fillId="12" borderId="0" applyNumberFormat="0" applyBorder="0" applyAlignment="0" applyProtection="0"/>
    <xf numFmtId="0" fontId="38" fillId="7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6" fillId="12" borderId="0" applyNumberFormat="0" applyBorder="0" applyAlignment="0" applyProtection="0"/>
    <xf numFmtId="0" fontId="38" fillId="7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6" fillId="12" borderId="0" applyNumberFormat="0" applyBorder="0" applyAlignment="0" applyProtection="0"/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2" fillId="0" borderId="69" applyNumberFormat="0" applyFill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04" fillId="0" borderId="0"/>
    <xf numFmtId="0" fontId="104" fillId="0" borderId="0"/>
    <xf numFmtId="0" fontId="38" fillId="5" borderId="0" applyNumberFormat="0" applyBorder="0" applyAlignment="0" applyProtection="0">
      <alignment vertical="center"/>
    </xf>
    <xf numFmtId="0" fontId="104" fillId="0" borderId="0"/>
    <xf numFmtId="0" fontId="104" fillId="0" borderId="0"/>
    <xf numFmtId="0" fontId="38" fillId="5" borderId="0" applyNumberFormat="0" applyBorder="0" applyAlignment="0" applyProtection="0">
      <alignment vertical="center"/>
    </xf>
    <xf numFmtId="0" fontId="104" fillId="0" borderId="0"/>
    <xf numFmtId="0" fontId="38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16" fillId="0" borderId="76" applyProtection="0"/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104" fillId="0" borderId="0"/>
    <xf numFmtId="0" fontId="56" fillId="8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177" fontId="2" fillId="0" borderId="2" applyFill="0" applyProtection="0">
      <alignment horizontal="right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104" fillId="0" borderId="0"/>
    <xf numFmtId="0" fontId="56" fillId="4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7" fillId="0" borderId="0"/>
    <xf numFmtId="0" fontId="45" fillId="0" borderId="7" applyNumberFormat="0" applyFill="0" applyProtection="0">
      <alignment horizont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9" fillId="0" borderId="2" applyNumberFormat="0" applyFill="0" applyProtection="0">
      <alignment horizontal="left"/>
    </xf>
    <xf numFmtId="0" fontId="104" fillId="0" borderId="0"/>
    <xf numFmtId="0" fontId="38" fillId="12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3" fillId="24" borderId="15" applyNumberFormat="0" applyBorder="0" applyAlignment="0" applyProtection="0"/>
    <xf numFmtId="0" fontId="33" fillId="24" borderId="15" applyNumberFormat="0" applyBorder="0" applyAlignment="0" applyProtection="0"/>
    <xf numFmtId="0" fontId="16" fillId="0" borderId="76" applyProtection="0"/>
    <xf numFmtId="0" fontId="38" fillId="4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50" fillId="14" borderId="5">
      <protection locked="0"/>
    </xf>
    <xf numFmtId="0" fontId="50" fillId="14" borderId="5">
      <protection locked="0"/>
    </xf>
    <xf numFmtId="0" fontId="38" fillId="4" borderId="0" applyNumberFormat="0" applyBorder="0" applyAlignment="0" applyProtection="0">
      <alignment vertical="center"/>
    </xf>
    <xf numFmtId="0" fontId="51" fillId="8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37" fontId="64" fillId="0" borderId="0"/>
    <xf numFmtId="0" fontId="37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/>
    <xf numFmtId="0" fontId="38" fillId="20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/>
    <xf numFmtId="0" fontId="49" fillId="0" borderId="2" applyNumberFormat="0" applyFill="0" applyProtection="0">
      <alignment horizontal="left"/>
    </xf>
    <xf numFmtId="0" fontId="38" fillId="20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/>
    <xf numFmtId="0" fontId="41" fillId="10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/>
    <xf numFmtId="0" fontId="51" fillId="8" borderId="0" applyNumberFormat="0" applyBorder="0" applyAlignment="0" applyProtection="0"/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1" fillId="8" borderId="0" applyNumberFormat="0" applyBorder="0" applyAlignment="0" applyProtection="0"/>
    <xf numFmtId="0" fontId="38" fillId="12" borderId="0" applyNumberFormat="0" applyBorder="0" applyAlignment="0" applyProtection="0">
      <alignment vertical="center"/>
    </xf>
    <xf numFmtId="0" fontId="104" fillId="0" borderId="0"/>
    <xf numFmtId="0" fontId="104" fillId="0" borderId="0"/>
    <xf numFmtId="0" fontId="53" fillId="0" borderId="67" applyNumberFormat="0" applyAlignment="0" applyProtection="0">
      <alignment horizontal="left" vertical="center"/>
    </xf>
    <xf numFmtId="0" fontId="53" fillId="0" borderId="67" applyNumberFormat="0" applyAlignment="0" applyProtection="0">
      <alignment horizontal="left" vertical="center"/>
    </xf>
    <xf numFmtId="0" fontId="38" fillId="12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04" fillId="0" borderId="0"/>
    <xf numFmtId="0" fontId="104" fillId="0" borderId="0"/>
    <xf numFmtId="0" fontId="53" fillId="0" borderId="67" applyNumberFormat="0" applyAlignment="0" applyProtection="0">
      <alignment horizontal="left" vertical="center"/>
    </xf>
    <xf numFmtId="0" fontId="53" fillId="0" borderId="67" applyNumberFormat="0" applyAlignment="0" applyProtection="0">
      <alignment horizontal="left" vertical="center"/>
    </xf>
    <xf numFmtId="0" fontId="38" fillId="12" borderId="0" applyNumberFormat="0" applyBorder="0" applyAlignment="0" applyProtection="0">
      <alignment vertical="center"/>
    </xf>
    <xf numFmtId="0" fontId="104" fillId="0" borderId="0"/>
    <xf numFmtId="0" fontId="44" fillId="1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3" fillId="0" borderId="67" applyNumberFormat="0" applyAlignment="0" applyProtection="0">
      <alignment horizontal="left" vertical="center"/>
    </xf>
    <xf numFmtId="0" fontId="53" fillId="0" borderId="67" applyNumberFormat="0" applyAlignment="0" applyProtection="0">
      <alignment horizontal="left" vertical="center"/>
    </xf>
    <xf numFmtId="0" fontId="38" fillId="12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04" fillId="0" borderId="0"/>
    <xf numFmtId="0" fontId="37" fillId="5" borderId="0" applyNumberFormat="0" applyBorder="0" applyAlignment="0" applyProtection="0">
      <alignment vertical="center"/>
    </xf>
    <xf numFmtId="0" fontId="53" fillId="0" borderId="67" applyNumberFormat="0" applyAlignment="0" applyProtection="0">
      <alignment horizontal="left" vertical="center"/>
    </xf>
    <xf numFmtId="0" fontId="53" fillId="0" borderId="67" applyNumberFormat="0" applyAlignment="0" applyProtection="0">
      <alignment horizontal="left" vertical="center"/>
    </xf>
    <xf numFmtId="0" fontId="38" fillId="12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04" fillId="0" borderId="0"/>
    <xf numFmtId="0" fontId="37" fillId="5" borderId="0" applyNumberFormat="0" applyBorder="0" applyAlignment="0" applyProtection="0">
      <alignment vertical="center"/>
    </xf>
    <xf numFmtId="0" fontId="53" fillId="0" borderId="67" applyNumberFormat="0" applyAlignment="0" applyProtection="0">
      <alignment horizontal="left" vertical="center"/>
    </xf>
    <xf numFmtId="0" fontId="53" fillId="0" borderId="67" applyNumberFormat="0" applyAlignment="0" applyProtection="0">
      <alignment horizontal="left" vertical="center"/>
    </xf>
    <xf numFmtId="0" fontId="38" fillId="12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04" fillId="0" borderId="0"/>
    <xf numFmtId="0" fontId="104" fillId="0" borderId="0"/>
    <xf numFmtId="0" fontId="37" fillId="5" borderId="0" applyNumberFormat="0" applyBorder="0" applyAlignment="0" applyProtection="0">
      <alignment vertical="center"/>
    </xf>
    <xf numFmtId="0" fontId="53" fillId="0" borderId="67" applyNumberFormat="0" applyAlignment="0" applyProtection="0">
      <alignment horizontal="left" vertical="center"/>
    </xf>
    <xf numFmtId="0" fontId="53" fillId="0" borderId="67" applyNumberFormat="0" applyAlignment="0" applyProtection="0">
      <alignment horizontal="left" vertical="center"/>
    </xf>
    <xf numFmtId="0" fontId="38" fillId="12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3" fillId="0" borderId="67" applyNumberFormat="0" applyAlignment="0" applyProtection="0">
      <alignment horizontal="left" vertical="center"/>
    </xf>
    <xf numFmtId="0" fontId="53" fillId="0" borderId="67" applyNumberFormat="0" applyAlignment="0" applyProtection="0">
      <alignment horizontal="left" vertical="center"/>
    </xf>
    <xf numFmtId="0" fontId="38" fillId="12" borderId="0" applyNumberFormat="0" applyBorder="0" applyAlignment="0" applyProtection="0">
      <alignment vertical="center"/>
    </xf>
    <xf numFmtId="0" fontId="51" fillId="8" borderId="0" applyNumberFormat="0" applyBorder="0" applyAlignment="0" applyProtection="0"/>
    <xf numFmtId="0" fontId="38" fillId="21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0" fillId="5" borderId="0" applyNumberFormat="0" applyBorder="0" applyAlignment="0" applyProtection="0"/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51" fillId="8" borderId="0" applyNumberFormat="0" applyBorder="0" applyAlignment="0" applyProtection="0"/>
    <xf numFmtId="179" fontId="2" fillId="0" borderId="0"/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51" fillId="8" borderId="0" applyNumberFormat="0" applyBorder="0" applyAlignment="0" applyProtection="0"/>
    <xf numFmtId="0" fontId="73" fillId="0" borderId="0" applyNumberForma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1" fillId="8" borderId="0" applyNumberFormat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20" fillId="24" borderId="0" applyNumberFormat="0" applyBorder="0" applyAlignment="0" applyProtection="0"/>
    <xf numFmtId="0" fontId="53" fillId="0" borderId="29">
      <alignment horizontal="left" vertical="center"/>
    </xf>
    <xf numFmtId="0" fontId="53" fillId="0" borderId="29">
      <alignment horizontal="left" vertical="center"/>
    </xf>
    <xf numFmtId="0" fontId="71" fillId="0" borderId="0" applyNumberFormat="0" applyFill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53" fillId="0" borderId="29">
      <alignment horizontal="left" vertical="center"/>
    </xf>
    <xf numFmtId="0" fontId="53" fillId="0" borderId="29">
      <alignment horizontal="left" vertical="center"/>
    </xf>
    <xf numFmtId="0" fontId="71" fillId="0" borderId="0" applyNumberFormat="0" applyFill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53" fillId="0" borderId="29">
      <alignment horizontal="left" vertical="center"/>
    </xf>
    <xf numFmtId="0" fontId="53" fillId="0" borderId="29">
      <alignment horizontal="left" vertical="center"/>
    </xf>
    <xf numFmtId="0" fontId="38" fillId="26" borderId="0" applyNumberFormat="0" applyBorder="0" applyAlignment="0" applyProtection="0">
      <alignment vertical="center"/>
    </xf>
    <xf numFmtId="0" fontId="53" fillId="0" borderId="29">
      <alignment horizontal="left" vertical="center"/>
    </xf>
    <xf numFmtId="0" fontId="53" fillId="0" borderId="29">
      <alignment horizontal="left" vertical="center"/>
    </xf>
    <xf numFmtId="0" fontId="38" fillId="26" borderId="0" applyNumberFormat="0" applyBorder="0" applyAlignment="0" applyProtection="0">
      <alignment vertical="center"/>
    </xf>
    <xf numFmtId="0" fontId="49" fillId="0" borderId="2" applyNumberFormat="0" applyFill="0" applyProtection="0">
      <alignment horizontal="left"/>
    </xf>
    <xf numFmtId="0" fontId="56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9" fillId="0" borderId="2" applyNumberFormat="0" applyFill="0" applyProtection="0">
      <alignment horizontal="left"/>
    </xf>
    <xf numFmtId="0" fontId="38" fillId="12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9" fillId="0" borderId="2" applyNumberFormat="0" applyFill="0" applyProtection="0">
      <alignment horizontal="left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6" fillId="12" borderId="0" applyNumberFormat="0" applyBorder="0" applyAlignment="0" applyProtection="0"/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52" fillId="0" borderId="69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70" fillId="0" borderId="74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104" fillId="0" borderId="0"/>
    <xf numFmtId="0" fontId="104" fillId="0" borderId="0"/>
    <xf numFmtId="0" fontId="53" fillId="0" borderId="67" applyNumberFormat="0" applyAlignment="0" applyProtection="0">
      <alignment horizontal="left" vertical="center"/>
    </xf>
    <xf numFmtId="0" fontId="53" fillId="0" borderId="67" applyNumberFormat="0" applyAlignment="0" applyProtection="0">
      <alignment horizontal="left"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177" fontId="2" fillId="0" borderId="2" applyFill="0" applyProtection="0">
      <alignment horizontal="right"/>
    </xf>
    <xf numFmtId="177" fontId="2" fillId="0" borderId="2" applyFill="0" applyProtection="0">
      <alignment horizontal="right"/>
    </xf>
    <xf numFmtId="0" fontId="20" fillId="16" borderId="0" applyNumberFormat="0" applyBorder="0" applyAlignment="0" applyProtection="0"/>
    <xf numFmtId="0" fontId="38" fillId="4" borderId="0" applyNumberFormat="0" applyBorder="0" applyAlignment="0" applyProtection="0">
      <alignment vertical="center"/>
    </xf>
    <xf numFmtId="183" fontId="104" fillId="0" borderId="0" applyFont="0" applyFill="0" applyBorder="0" applyAlignment="0" applyProtection="0"/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5" fillId="0" borderId="7" applyNumberFormat="0" applyFill="0" applyProtection="0">
      <alignment horizontal="center"/>
    </xf>
    <xf numFmtId="0" fontId="45" fillId="0" borderId="7" applyNumberFormat="0" applyFill="0" applyProtection="0">
      <alignment horizont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3" fillId="24" borderId="15" applyNumberFormat="0" applyBorder="0" applyAlignment="0" applyProtection="0"/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0" fillId="14" borderId="5">
      <protection locked="0"/>
    </xf>
    <xf numFmtId="0" fontId="50" fillId="14" borderId="5">
      <protection locked="0"/>
    </xf>
    <xf numFmtId="0" fontId="38" fillId="12" borderId="0" applyNumberFormat="0" applyBorder="0" applyAlignment="0" applyProtection="0">
      <alignment vertical="center"/>
    </xf>
    <xf numFmtId="0" fontId="65" fillId="20" borderId="71" applyNumberFormat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6" fillId="16" borderId="0" applyNumberFormat="0" applyBorder="0" applyAlignment="0" applyProtection="0"/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59" fillId="16" borderId="71" applyNumberFormat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38" fillId="26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/>
    <xf numFmtId="0" fontId="41" fillId="8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177" fontId="2" fillId="0" borderId="2" applyFill="0" applyProtection="0">
      <alignment horizontal="right"/>
    </xf>
    <xf numFmtId="0" fontId="41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177" fontId="2" fillId="0" borderId="2" applyFill="0" applyProtection="0">
      <alignment horizontal="right"/>
    </xf>
    <xf numFmtId="0" fontId="37" fillId="5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177" fontId="2" fillId="0" borderId="2" applyFill="0" applyProtection="0">
      <alignment horizontal="right"/>
    </xf>
    <xf numFmtId="0" fontId="37" fillId="5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177" fontId="2" fillId="0" borderId="2" applyFill="0" applyProtection="0">
      <alignment horizontal="right"/>
    </xf>
    <xf numFmtId="0" fontId="37" fillId="5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177" fontId="2" fillId="0" borderId="2" applyFill="0" applyProtection="0">
      <alignment horizontal="right"/>
    </xf>
    <xf numFmtId="0" fontId="37" fillId="5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177" fontId="2" fillId="0" borderId="2" applyFill="0" applyProtection="0">
      <alignment horizontal="right"/>
    </xf>
    <xf numFmtId="0" fontId="37" fillId="5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177" fontId="2" fillId="0" borderId="2" applyFill="0" applyProtection="0">
      <alignment horizontal="right"/>
    </xf>
    <xf numFmtId="0" fontId="41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20" fillId="7" borderId="0" applyNumberFormat="0" applyBorder="0" applyAlignment="0" applyProtection="0"/>
    <xf numFmtId="0" fontId="41" fillId="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/>
    <xf numFmtId="0" fontId="41" fillId="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14" fontId="67" fillId="0" borderId="0">
      <alignment horizontal="center" wrapText="1"/>
      <protection locked="0"/>
    </xf>
    <xf numFmtId="0" fontId="20" fillId="7" borderId="0" applyNumberFormat="0" applyBorder="0" applyAlignment="0" applyProtection="0"/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76" fillId="0" borderId="77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76" fillId="0" borderId="77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76" fillId="0" borderId="77" applyNumberFormat="0" applyFill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72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44" fillId="21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04" fillId="24" borderId="75" applyNumberFormat="0" applyFont="0" applyAlignment="0" applyProtection="0">
      <alignment vertical="center"/>
    </xf>
    <xf numFmtId="0" fontId="65" fillId="20" borderId="71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/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177" fontId="2" fillId="0" borderId="2" applyFill="0" applyProtection="0">
      <alignment horizontal="right"/>
    </xf>
    <xf numFmtId="177" fontId="2" fillId="0" borderId="2" applyFill="0" applyProtection="0">
      <alignment horizontal="right"/>
    </xf>
    <xf numFmtId="0" fontId="41" fillId="8" borderId="0" applyNumberFormat="0" applyBorder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177" fontId="2" fillId="0" borderId="2" applyFill="0" applyProtection="0">
      <alignment horizontal="right"/>
    </xf>
    <xf numFmtId="177" fontId="2" fillId="0" borderId="2" applyFill="0" applyProtection="0">
      <alignment horizontal="right"/>
    </xf>
    <xf numFmtId="0" fontId="41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104" fillId="0" borderId="0">
      <alignment vertical="center"/>
    </xf>
    <xf numFmtId="0" fontId="104" fillId="0" borderId="0"/>
    <xf numFmtId="0" fontId="44" fillId="22" borderId="0" applyNumberFormat="0" applyBorder="0" applyAlignment="0" applyProtection="0">
      <alignment vertical="center"/>
    </xf>
    <xf numFmtId="0" fontId="104" fillId="0" borderId="0">
      <alignment vertical="center"/>
    </xf>
    <xf numFmtId="0" fontId="104" fillId="0" borderId="0"/>
    <xf numFmtId="0" fontId="44" fillId="22" borderId="0" applyNumberFormat="0" applyBorder="0" applyAlignment="0" applyProtection="0">
      <alignment vertical="center"/>
    </xf>
    <xf numFmtId="0" fontId="104" fillId="0" borderId="0"/>
    <xf numFmtId="0" fontId="104" fillId="0" borderId="0"/>
    <xf numFmtId="0" fontId="44" fillId="22" borderId="0" applyNumberFormat="0" applyBorder="0" applyAlignment="0" applyProtection="0">
      <alignment vertical="center"/>
    </xf>
    <xf numFmtId="0" fontId="104" fillId="0" borderId="0"/>
    <xf numFmtId="0" fontId="44" fillId="22" borderId="0" applyNumberFormat="0" applyBorder="0" applyAlignment="0" applyProtection="0">
      <alignment vertical="center"/>
    </xf>
    <xf numFmtId="0" fontId="104" fillId="0" borderId="0"/>
    <xf numFmtId="0" fontId="104" fillId="0" borderId="0"/>
    <xf numFmtId="0" fontId="44" fillId="22" borderId="0" applyNumberFormat="0" applyBorder="0" applyAlignment="0" applyProtection="0">
      <alignment vertical="center"/>
    </xf>
    <xf numFmtId="177" fontId="2" fillId="0" borderId="2" applyFill="0" applyProtection="0">
      <alignment horizontal="right"/>
    </xf>
    <xf numFmtId="177" fontId="2" fillId="0" borderId="2" applyFill="0" applyProtection="0">
      <alignment horizontal="right"/>
    </xf>
    <xf numFmtId="0" fontId="41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104" fillId="0" borderId="0"/>
    <xf numFmtId="0" fontId="104" fillId="0" borderId="0"/>
    <xf numFmtId="0" fontId="53" fillId="0" borderId="67" applyNumberFormat="0" applyAlignment="0" applyProtection="0">
      <alignment horizontal="left" vertical="center"/>
    </xf>
    <xf numFmtId="0" fontId="44" fillId="22" borderId="0" applyNumberFormat="0" applyBorder="0" applyAlignment="0" applyProtection="0">
      <alignment vertical="center"/>
    </xf>
    <xf numFmtId="177" fontId="2" fillId="0" borderId="2" applyFill="0" applyProtection="0">
      <alignment horizontal="right"/>
    </xf>
    <xf numFmtId="177" fontId="2" fillId="0" borderId="2" applyFill="0" applyProtection="0">
      <alignment horizontal="right"/>
    </xf>
    <xf numFmtId="0" fontId="41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177" fontId="2" fillId="0" borderId="2" applyFill="0" applyProtection="0">
      <alignment horizontal="right"/>
    </xf>
    <xf numFmtId="177" fontId="2" fillId="0" borderId="2" applyFill="0" applyProtection="0">
      <alignment horizontal="right"/>
    </xf>
    <xf numFmtId="0" fontId="41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177" fontId="2" fillId="0" borderId="2" applyFill="0" applyProtection="0">
      <alignment horizontal="right"/>
    </xf>
    <xf numFmtId="177" fontId="2" fillId="0" borderId="2" applyFill="0" applyProtection="0">
      <alignment horizontal="right"/>
    </xf>
    <xf numFmtId="0" fontId="41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177" fontId="2" fillId="0" borderId="2" applyFill="0" applyProtection="0">
      <alignment horizontal="right"/>
    </xf>
    <xf numFmtId="177" fontId="2" fillId="0" borderId="2" applyFill="0" applyProtection="0">
      <alignment horizontal="right"/>
    </xf>
    <xf numFmtId="0" fontId="44" fillId="22" borderId="0" applyNumberFormat="0" applyBorder="0" applyAlignment="0" applyProtection="0">
      <alignment vertical="center"/>
    </xf>
    <xf numFmtId="0" fontId="59" fillId="16" borderId="71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177" fontId="2" fillId="0" borderId="2" applyFill="0" applyProtection="0">
      <alignment horizontal="right"/>
    </xf>
    <xf numFmtId="177" fontId="2" fillId="0" borderId="2" applyFill="0" applyProtection="0">
      <alignment horizontal="right"/>
    </xf>
    <xf numFmtId="0" fontId="20" fillId="16" borderId="0" applyNumberFormat="0" applyBorder="0" applyAlignment="0" applyProtection="0"/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0" fillId="5" borderId="0" applyNumberFormat="0" applyBorder="0" applyAlignment="0" applyProtection="0"/>
    <xf numFmtId="0" fontId="53" fillId="0" borderId="29">
      <alignment horizontal="left" vertical="center"/>
    </xf>
    <xf numFmtId="0" fontId="44" fillId="1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6" fillId="0" borderId="76" applyProtection="0"/>
    <xf numFmtId="0" fontId="16" fillId="0" borderId="76" applyProtection="0"/>
    <xf numFmtId="0" fontId="72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177" fontId="2" fillId="0" borderId="2" applyFill="0" applyProtection="0">
      <alignment horizontal="right"/>
    </xf>
    <xf numFmtId="177" fontId="2" fillId="0" borderId="2" applyFill="0" applyProtection="0">
      <alignment horizontal="right"/>
    </xf>
    <xf numFmtId="0" fontId="20" fillId="16" borderId="0" applyNumberFormat="0" applyBorder="0" applyAlignment="0" applyProtection="0"/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177" fontId="2" fillId="0" borderId="2" applyFill="0" applyProtection="0">
      <alignment horizontal="right"/>
    </xf>
    <xf numFmtId="0" fontId="37" fillId="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0" fillId="14" borderId="5">
      <protection locked="0"/>
    </xf>
    <xf numFmtId="0" fontId="33" fillId="24" borderId="15" applyNumberFormat="0" applyBorder="0" applyAlignment="0" applyProtection="0"/>
    <xf numFmtId="0" fontId="33" fillId="24" borderId="15" applyNumberFormat="0" applyBorder="0" applyAlignment="0" applyProtection="0"/>
    <xf numFmtId="0" fontId="60" fillId="0" borderId="0">
      <protection locked="0"/>
    </xf>
    <xf numFmtId="0" fontId="41" fillId="8" borderId="0" applyNumberFormat="0" applyBorder="0" applyAlignment="0" applyProtection="0">
      <alignment vertical="center"/>
    </xf>
    <xf numFmtId="0" fontId="46" fillId="23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/>
    <xf numFmtId="0" fontId="57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/>
    <xf numFmtId="0" fontId="57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/>
    <xf numFmtId="0" fontId="57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45" fillId="0" borderId="7" applyNumberFormat="0" applyFill="0" applyProtection="0">
      <alignment horizontal="center"/>
    </xf>
    <xf numFmtId="0" fontId="20" fillId="7" borderId="0" applyNumberFormat="0" applyBorder="0" applyAlignment="0" applyProtection="0"/>
    <xf numFmtId="0" fontId="51" fillId="10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45" fillId="0" borderId="7" applyNumberFormat="0" applyFill="0" applyProtection="0">
      <alignment horizontal="center"/>
    </xf>
    <xf numFmtId="0" fontId="20" fillId="7" borderId="0" applyNumberFormat="0" applyBorder="0" applyAlignment="0" applyProtection="0"/>
    <xf numFmtId="0" fontId="51" fillId="10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45" fillId="0" borderId="7" applyNumberFormat="0" applyFill="0" applyProtection="0">
      <alignment horizontal="center"/>
    </xf>
    <xf numFmtId="0" fontId="20" fillId="7" borderId="0" applyNumberFormat="0" applyBorder="0" applyAlignment="0" applyProtection="0"/>
    <xf numFmtId="0" fontId="51" fillId="10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45" fillId="0" borderId="7" applyNumberFormat="0" applyFill="0" applyProtection="0">
      <alignment horizontal="center"/>
    </xf>
    <xf numFmtId="0" fontId="20" fillId="7" borderId="0" applyNumberFormat="0" applyBorder="0" applyAlignment="0" applyProtection="0"/>
    <xf numFmtId="0" fontId="51" fillId="10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45" fillId="0" borderId="7" applyNumberFormat="0" applyFill="0" applyProtection="0">
      <alignment horizontal="center"/>
    </xf>
    <xf numFmtId="0" fontId="20" fillId="7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6" fillId="12" borderId="0" applyNumberFormat="0" applyBorder="0" applyAlignment="0" applyProtection="0"/>
    <xf numFmtId="0" fontId="49" fillId="0" borderId="2" applyNumberFormat="0" applyFill="0" applyProtection="0">
      <alignment horizontal="center"/>
    </xf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59" fillId="16" borderId="71" applyNumberFormat="0" applyAlignment="0" applyProtection="0">
      <alignment vertical="center"/>
    </xf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6" fillId="31" borderId="0" applyNumberFormat="0" applyBorder="0" applyAlignment="0" applyProtection="0"/>
    <xf numFmtId="0" fontId="104" fillId="0" borderId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44" fillId="27" borderId="0" applyNumberFormat="0" applyBorder="0" applyAlignment="0" applyProtection="0">
      <alignment vertical="center"/>
    </xf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41" fontId="104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/>
    <xf numFmtId="0" fontId="37" fillId="5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/>
    <xf numFmtId="0" fontId="37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/>
    <xf numFmtId="0" fontId="37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/>
    <xf numFmtId="0" fontId="37" fillId="5" borderId="0" applyNumberFormat="0" applyBorder="0" applyAlignment="0" applyProtection="0">
      <alignment vertical="center"/>
    </xf>
    <xf numFmtId="0" fontId="54" fillId="16" borderId="70" applyNumberFormat="0" applyAlignment="0" applyProtection="0">
      <alignment vertical="center"/>
    </xf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9" fillId="0" borderId="2" applyNumberFormat="0" applyFill="0" applyProtection="0">
      <alignment horizontal="left"/>
    </xf>
    <xf numFmtId="0" fontId="46" fillId="11" borderId="0" applyNumberFormat="0" applyBorder="0" applyAlignment="0" applyProtection="0"/>
    <xf numFmtId="0" fontId="49" fillId="0" borderId="2" applyNumberFormat="0" applyFill="0" applyProtection="0">
      <alignment horizontal="left"/>
    </xf>
    <xf numFmtId="0" fontId="46" fillId="11" borderId="0" applyNumberFormat="0" applyBorder="0" applyAlignment="0" applyProtection="0"/>
    <xf numFmtId="0" fontId="49" fillId="0" borderId="2" applyNumberFormat="0" applyFill="0" applyProtection="0">
      <alignment horizontal="left"/>
    </xf>
    <xf numFmtId="0" fontId="46" fillId="11" borderId="0" applyNumberFormat="0" applyBorder="0" applyAlignment="0" applyProtection="0"/>
    <xf numFmtId="0" fontId="49" fillId="0" borderId="2" applyNumberFormat="0" applyFill="0" applyProtection="0">
      <alignment horizontal="left"/>
    </xf>
    <xf numFmtId="1" fontId="25" fillId="0" borderId="15">
      <alignment vertical="center"/>
      <protection locked="0"/>
    </xf>
    <xf numFmtId="0" fontId="46" fillId="11" borderId="0" applyNumberFormat="0" applyBorder="0" applyAlignment="0" applyProtection="0"/>
    <xf numFmtId="0" fontId="49" fillId="0" borderId="2" applyNumberFormat="0" applyFill="0" applyProtection="0">
      <alignment horizontal="left"/>
    </xf>
    <xf numFmtId="1" fontId="25" fillId="0" borderId="15">
      <alignment vertical="center"/>
      <protection locked="0"/>
    </xf>
    <xf numFmtId="0" fontId="46" fillId="1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55" fillId="4" borderId="0" applyNumberFormat="0" applyBorder="0" applyAlignment="0" applyProtection="0">
      <alignment vertical="center"/>
    </xf>
    <xf numFmtId="0" fontId="46" fillId="31" borderId="0" applyNumberFormat="0" applyBorder="0" applyAlignment="0" applyProtection="0"/>
    <xf numFmtId="0" fontId="57" fillId="4" borderId="0" applyNumberFormat="0" applyBorder="0" applyAlignment="0" applyProtection="0">
      <alignment vertical="center"/>
    </xf>
    <xf numFmtId="0" fontId="46" fillId="31" borderId="0" applyNumberFormat="0" applyBorder="0" applyAlignment="0" applyProtection="0"/>
    <xf numFmtId="0" fontId="57" fillId="4" borderId="0" applyNumberFormat="0" applyBorder="0" applyAlignment="0" applyProtection="0">
      <alignment vertical="center"/>
    </xf>
    <xf numFmtId="0" fontId="46" fillId="31" borderId="0" applyNumberFormat="0" applyBorder="0" applyAlignment="0" applyProtection="0"/>
    <xf numFmtId="0" fontId="57" fillId="4" borderId="0" applyNumberFormat="0" applyBorder="0" applyAlignment="0" applyProtection="0">
      <alignment vertical="center"/>
    </xf>
    <xf numFmtId="0" fontId="46" fillId="31" borderId="0" applyNumberFormat="0" applyBorder="0" applyAlignment="0" applyProtection="0"/>
    <xf numFmtId="0" fontId="57" fillId="4" borderId="0" applyNumberFormat="0" applyBorder="0" applyAlignment="0" applyProtection="0">
      <alignment vertical="center"/>
    </xf>
    <xf numFmtId="0" fontId="46" fillId="31" borderId="0" applyNumberFormat="0" applyBorder="0" applyAlignment="0" applyProtection="0"/>
    <xf numFmtId="0" fontId="57" fillId="4" borderId="0" applyNumberFormat="0" applyBorder="0" applyAlignment="0" applyProtection="0">
      <alignment vertical="center"/>
    </xf>
    <xf numFmtId="0" fontId="46" fillId="31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0" fontId="37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/>
    <xf numFmtId="0" fontId="77" fillId="0" borderId="1">
      <alignment horizontal="center"/>
    </xf>
    <xf numFmtId="0" fontId="20" fillId="24" borderId="0" applyNumberFormat="0" applyBorder="0" applyAlignment="0" applyProtection="0"/>
    <xf numFmtId="0" fontId="77" fillId="0" borderId="1">
      <alignment horizontal="center"/>
    </xf>
    <xf numFmtId="0" fontId="20" fillId="24" borderId="0" applyNumberFormat="0" applyBorder="0" applyAlignment="0" applyProtection="0"/>
    <xf numFmtId="0" fontId="77" fillId="0" borderId="1">
      <alignment horizontal="center"/>
    </xf>
    <xf numFmtId="0" fontId="77" fillId="0" borderId="1">
      <alignment horizontal="center"/>
    </xf>
    <xf numFmtId="0" fontId="20" fillId="24" borderId="0" applyNumberFormat="0" applyBorder="0" applyAlignment="0" applyProtection="0"/>
    <xf numFmtId="0" fontId="77" fillId="0" borderId="1">
      <alignment horizontal="center"/>
    </xf>
    <xf numFmtId="0" fontId="77" fillId="0" borderId="1">
      <alignment horizontal="center"/>
    </xf>
    <xf numFmtId="0" fontId="20" fillId="24" borderId="0" applyNumberFormat="0" applyBorder="0" applyAlignment="0" applyProtection="0"/>
    <xf numFmtId="0" fontId="77" fillId="0" borderId="1">
      <alignment horizontal="center"/>
    </xf>
    <xf numFmtId="0" fontId="77" fillId="0" borderId="1">
      <alignment horizontal="center"/>
    </xf>
    <xf numFmtId="0" fontId="20" fillId="24" borderId="0" applyNumberFormat="0" applyBorder="0" applyAlignment="0" applyProtection="0"/>
    <xf numFmtId="0" fontId="77" fillId="0" borderId="1">
      <alignment horizontal="center"/>
    </xf>
    <xf numFmtId="0" fontId="77" fillId="0" borderId="1">
      <alignment horizontal="center"/>
    </xf>
    <xf numFmtId="0" fontId="20" fillId="24" borderId="0" applyNumberFormat="0" applyBorder="0" applyAlignment="0" applyProtection="0"/>
    <xf numFmtId="0" fontId="77" fillId="0" borderId="1">
      <alignment horizontal="center"/>
    </xf>
    <xf numFmtId="0" fontId="77" fillId="0" borderId="1">
      <alignment horizontal="center"/>
    </xf>
    <xf numFmtId="0" fontId="20" fillId="24" borderId="0" applyNumberFormat="0" applyBorder="0" applyAlignment="0" applyProtection="0"/>
    <xf numFmtId="0" fontId="77" fillId="0" borderId="1">
      <alignment horizontal="center"/>
    </xf>
    <xf numFmtId="0" fontId="77" fillId="0" borderId="1">
      <alignment horizontal="center"/>
    </xf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8" borderId="0" applyNumberFormat="0" applyBorder="0" applyAlignment="0" applyProtection="0"/>
    <xf numFmtId="0" fontId="55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/>
    <xf numFmtId="0" fontId="55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/>
    <xf numFmtId="0" fontId="55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/>
    <xf numFmtId="0" fontId="55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/>
    <xf numFmtId="0" fontId="55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37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41" fillId="8" borderId="0" applyNumberFormat="0" applyBorder="0" applyAlignment="0" applyProtection="0">
      <alignment vertical="center"/>
    </xf>
    <xf numFmtId="0" fontId="46" fillId="16" borderId="0" applyNumberFormat="0" applyBorder="0" applyAlignment="0" applyProtection="0"/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77" fillId="0" borderId="1">
      <alignment horizontal="center"/>
    </xf>
    <xf numFmtId="0" fontId="46" fillId="16" borderId="0" applyNumberFormat="0" applyBorder="0" applyAlignment="0" applyProtection="0"/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77" fillId="0" borderId="1">
      <alignment horizontal="center"/>
    </xf>
    <xf numFmtId="0" fontId="46" fillId="16" borderId="0" applyNumberFormat="0" applyBorder="0" applyAlignment="0" applyProtection="0"/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6" fillId="16" borderId="0" applyNumberFormat="0" applyBorder="0" applyAlignment="0" applyProtection="0"/>
    <xf numFmtId="0" fontId="41" fillId="8" borderId="0" applyNumberFormat="0" applyBorder="0" applyAlignment="0" applyProtection="0">
      <alignment vertical="center"/>
    </xf>
    <xf numFmtId="0" fontId="46" fillId="16" borderId="0" applyNumberFormat="0" applyBorder="0" applyAlignment="0" applyProtection="0"/>
    <xf numFmtId="0" fontId="41" fillId="8" borderId="0" applyNumberFormat="0" applyBorder="0" applyAlignment="0" applyProtection="0">
      <alignment vertical="center"/>
    </xf>
    <xf numFmtId="0" fontId="46" fillId="16" borderId="0" applyNumberFormat="0" applyBorder="0" applyAlignment="0" applyProtection="0"/>
    <xf numFmtId="0" fontId="41" fillId="8" borderId="0" applyNumberFormat="0" applyBorder="0" applyAlignment="0" applyProtection="0">
      <alignment vertical="center"/>
    </xf>
    <xf numFmtId="0" fontId="46" fillId="16" borderId="0" applyNumberFormat="0" applyBorder="0" applyAlignment="0" applyProtection="0"/>
    <xf numFmtId="0" fontId="57" fillId="4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6" fillId="16" borderId="0" applyNumberFormat="0" applyBorder="0" applyAlignment="0" applyProtection="0"/>
    <xf numFmtId="0" fontId="57" fillId="4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6" fillId="16" borderId="0" applyNumberFormat="0" applyBorder="0" applyAlignment="0" applyProtection="0"/>
    <xf numFmtId="0" fontId="37" fillId="5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0" fontId="37" fillId="5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0" fontId="37" fillId="5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0" fontId="37" fillId="5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0" fontId="37" fillId="5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0" fontId="37" fillId="5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0" fontId="37" fillId="5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43" fontId="104" fillId="0" borderId="0" applyFont="0" applyFill="0" applyBorder="0" applyAlignment="0" applyProtection="0"/>
    <xf numFmtId="0" fontId="44" fillId="2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6" fillId="23" borderId="0" applyNumberFormat="0" applyBorder="0" applyAlignment="0" applyProtection="0"/>
    <xf numFmtId="0" fontId="20" fillId="7" borderId="0" applyNumberFormat="0" applyBorder="0" applyAlignment="0" applyProtection="0"/>
    <xf numFmtId="0" fontId="78" fillId="0" borderId="0" applyNumberFormat="0" applyFill="0" applyBorder="0" applyAlignment="0" applyProtection="0">
      <alignment vertical="center"/>
    </xf>
    <xf numFmtId="0" fontId="50" fillId="14" borderId="5">
      <protection locked="0"/>
    </xf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16" borderId="0" applyNumberFormat="0" applyBorder="0" applyAlignment="0" applyProtection="0"/>
    <xf numFmtId="0" fontId="78" fillId="0" borderId="0" applyNumberFormat="0" applyFill="0" applyBorder="0" applyAlignment="0" applyProtection="0">
      <alignment vertical="center"/>
    </xf>
    <xf numFmtId="177" fontId="2" fillId="0" borderId="2" applyFill="0" applyProtection="0">
      <alignment horizontal="right"/>
    </xf>
    <xf numFmtId="177" fontId="2" fillId="0" borderId="2" applyFill="0" applyProtection="0">
      <alignment horizontal="right"/>
    </xf>
    <xf numFmtId="0" fontId="20" fillId="16" borderId="0" applyNumberFormat="0" applyBorder="0" applyAlignment="0" applyProtection="0"/>
    <xf numFmtId="177" fontId="2" fillId="0" borderId="2" applyFill="0" applyProtection="0">
      <alignment horizontal="right"/>
    </xf>
    <xf numFmtId="177" fontId="2" fillId="0" borderId="2" applyFill="0" applyProtection="0">
      <alignment horizontal="right"/>
    </xf>
    <xf numFmtId="0" fontId="20" fillId="16" borderId="0" applyNumberFormat="0" applyBorder="0" applyAlignment="0" applyProtection="0"/>
    <xf numFmtId="177" fontId="2" fillId="0" borderId="2" applyFill="0" applyProtection="0">
      <alignment horizontal="right"/>
    </xf>
    <xf numFmtId="177" fontId="2" fillId="0" borderId="2" applyFill="0" applyProtection="0">
      <alignment horizontal="right"/>
    </xf>
    <xf numFmtId="0" fontId="20" fillId="16" borderId="0" applyNumberFormat="0" applyBorder="0" applyAlignment="0" applyProtection="0"/>
    <xf numFmtId="177" fontId="2" fillId="0" borderId="2" applyFill="0" applyProtection="0">
      <alignment horizontal="right"/>
    </xf>
    <xf numFmtId="177" fontId="2" fillId="0" borderId="2" applyFill="0" applyProtection="0">
      <alignment horizontal="right"/>
    </xf>
    <xf numFmtId="0" fontId="20" fillId="16" borderId="0" applyNumberFormat="0" applyBorder="0" applyAlignment="0" applyProtection="0"/>
    <xf numFmtId="177" fontId="2" fillId="0" borderId="2" applyFill="0" applyProtection="0">
      <alignment horizontal="right"/>
    </xf>
    <xf numFmtId="177" fontId="2" fillId="0" borderId="2" applyFill="0" applyProtection="0">
      <alignment horizontal="right"/>
    </xf>
    <xf numFmtId="0" fontId="20" fillId="16" borderId="0" applyNumberFormat="0" applyBorder="0" applyAlignment="0" applyProtection="0"/>
    <xf numFmtId="0" fontId="37" fillId="5" borderId="0" applyNumberFormat="0" applyBorder="0" applyAlignment="0" applyProtection="0">
      <alignment vertical="center"/>
    </xf>
    <xf numFmtId="186" fontId="104" fillId="0" borderId="0" applyFont="0" applyFill="0" applyBorder="0" applyAlignment="0" applyProtection="0"/>
    <xf numFmtId="0" fontId="46" fillId="16" borderId="0" applyNumberFormat="0" applyBorder="0" applyAlignment="0" applyProtection="0"/>
    <xf numFmtId="0" fontId="50" fillId="14" borderId="5">
      <protection locked="0"/>
    </xf>
    <xf numFmtId="0" fontId="46" fillId="16" borderId="0" applyNumberFormat="0" applyBorder="0" applyAlignment="0" applyProtection="0"/>
    <xf numFmtId="0" fontId="50" fillId="14" borderId="5">
      <protection locked="0"/>
    </xf>
    <xf numFmtId="0" fontId="104" fillId="32" borderId="0" applyNumberFormat="0" applyFont="0" applyBorder="0" applyAlignment="0" applyProtection="0"/>
    <xf numFmtId="0" fontId="46" fillId="16" borderId="0" applyNumberFormat="0" applyBorder="0" applyAlignment="0" applyProtection="0"/>
    <xf numFmtId="0" fontId="50" fillId="14" borderId="5">
      <protection locked="0"/>
    </xf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51" fillId="10" borderId="0" applyNumberFormat="0" applyBorder="0" applyAlignment="0" applyProtection="0">
      <alignment vertical="center"/>
    </xf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46" fillId="16" borderId="0" applyNumberFormat="0" applyBorder="0" applyAlignment="0" applyProtection="0"/>
    <xf numFmtId="0" fontId="46" fillId="23" borderId="0" applyNumberFormat="0" applyBorder="0" applyAlignment="0" applyProtection="0"/>
    <xf numFmtId="0" fontId="33" fillId="24" borderId="15" applyNumberFormat="0" applyBorder="0" applyAlignment="0" applyProtection="0"/>
    <xf numFmtId="0" fontId="33" fillId="24" borderId="15" applyNumberFormat="0" applyBorder="0" applyAlignment="0" applyProtection="0"/>
    <xf numFmtId="0" fontId="46" fillId="23" borderId="0" applyNumberFormat="0" applyBorder="0" applyAlignment="0" applyProtection="0"/>
    <xf numFmtId="0" fontId="33" fillId="24" borderId="15" applyNumberFormat="0" applyBorder="0" applyAlignment="0" applyProtection="0"/>
    <xf numFmtId="0" fontId="33" fillId="24" borderId="15" applyNumberFormat="0" applyBorder="0" applyAlignment="0" applyProtection="0"/>
    <xf numFmtId="0" fontId="46" fillId="23" borderId="0" applyNumberFormat="0" applyBorder="0" applyAlignment="0" applyProtection="0"/>
    <xf numFmtId="0" fontId="33" fillId="24" borderId="15" applyNumberFormat="0" applyBorder="0" applyAlignment="0" applyProtection="0"/>
    <xf numFmtId="0" fontId="33" fillId="24" borderId="15" applyNumberFormat="0" applyBorder="0" applyAlignment="0" applyProtection="0"/>
    <xf numFmtId="0" fontId="41" fillId="8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46" fillId="23" borderId="0" applyNumberFormat="0" applyBorder="0" applyAlignment="0" applyProtection="0"/>
    <xf numFmtId="0" fontId="33" fillId="24" borderId="15" applyNumberFormat="0" applyBorder="0" applyAlignment="0" applyProtection="0"/>
    <xf numFmtId="0" fontId="33" fillId="24" borderId="15" applyNumberFormat="0" applyBorder="0" applyAlignment="0" applyProtection="0"/>
    <xf numFmtId="0" fontId="41" fillId="8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46" fillId="23" borderId="0" applyNumberFormat="0" applyBorder="0" applyAlignment="0" applyProtection="0"/>
    <xf numFmtId="0" fontId="33" fillId="24" borderId="15" applyNumberFormat="0" applyBorder="0" applyAlignment="0" applyProtection="0"/>
    <xf numFmtId="0" fontId="33" fillId="24" borderId="15" applyNumberFormat="0" applyBorder="0" applyAlignment="0" applyProtection="0"/>
    <xf numFmtId="0" fontId="41" fillId="8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46" fillId="23" borderId="0" applyNumberFormat="0" applyBorder="0" applyAlignment="0" applyProtection="0"/>
    <xf numFmtId="0" fontId="33" fillId="24" borderId="15" applyNumberFormat="0" applyBorder="0" applyAlignment="0" applyProtection="0"/>
    <xf numFmtId="0" fontId="33" fillId="24" borderId="15" applyNumberFormat="0" applyBorder="0" applyAlignment="0" applyProtection="0"/>
    <xf numFmtId="0" fontId="41" fillId="8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46" fillId="23" borderId="0" applyNumberFormat="0" applyBorder="0" applyAlignment="0" applyProtection="0"/>
    <xf numFmtId="0" fontId="33" fillId="24" borderId="15" applyNumberFormat="0" applyBorder="0" applyAlignment="0" applyProtection="0"/>
    <xf numFmtId="0" fontId="33" fillId="24" borderId="15" applyNumberFormat="0" applyBorder="0" applyAlignment="0" applyProtection="0"/>
    <xf numFmtId="0" fontId="41" fillId="8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46" fillId="23" borderId="0" applyNumberFormat="0" applyBorder="0" applyAlignment="0" applyProtection="0"/>
    <xf numFmtId="0" fontId="33" fillId="24" borderId="15" applyNumberFormat="0" applyBorder="0" applyAlignment="0" applyProtection="0"/>
    <xf numFmtId="0" fontId="33" fillId="24" borderId="15" applyNumberFormat="0" applyBorder="0" applyAlignment="0" applyProtection="0"/>
    <xf numFmtId="177" fontId="2" fillId="0" borderId="2" applyFill="0" applyProtection="0">
      <alignment horizontal="right"/>
    </xf>
    <xf numFmtId="0" fontId="44" fillId="22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/>
    <xf numFmtId="0" fontId="20" fillId="10" borderId="0" applyNumberFormat="0" applyBorder="0" applyAlignment="0" applyProtection="0"/>
    <xf numFmtId="0" fontId="37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41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/>
    <xf numFmtId="0" fontId="41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/>
    <xf numFmtId="0" fontId="41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/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6" fillId="12" borderId="0" applyNumberFormat="0" applyBorder="0" applyAlignment="0" applyProtection="0"/>
    <xf numFmtId="0" fontId="50" fillId="14" borderId="5">
      <protection locked="0"/>
    </xf>
    <xf numFmtId="0" fontId="50" fillId="14" borderId="5">
      <protection locked="0"/>
    </xf>
    <xf numFmtId="0" fontId="46" fillId="9" borderId="0" applyNumberFormat="0" applyBorder="0" applyAlignment="0" applyProtection="0"/>
    <xf numFmtId="0" fontId="50" fillId="14" borderId="5">
      <protection locked="0"/>
    </xf>
    <xf numFmtId="0" fontId="50" fillId="14" borderId="5">
      <protection locked="0"/>
    </xf>
    <xf numFmtId="0" fontId="46" fillId="9" borderId="0" applyNumberFormat="0" applyBorder="0" applyAlignment="0" applyProtection="0"/>
    <xf numFmtId="0" fontId="50" fillId="14" borderId="5">
      <protection locked="0"/>
    </xf>
    <xf numFmtId="0" fontId="50" fillId="14" borderId="5">
      <protection locked="0"/>
    </xf>
    <xf numFmtId="0" fontId="46" fillId="9" borderId="0" applyNumberFormat="0" applyBorder="0" applyAlignment="0" applyProtection="0"/>
    <xf numFmtId="0" fontId="79" fillId="0" borderId="77" applyNumberFormat="0" applyFill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0" fillId="14" borderId="5">
      <protection locked="0"/>
    </xf>
    <xf numFmtId="0" fontId="50" fillId="14" borderId="5">
      <protection locked="0"/>
    </xf>
    <xf numFmtId="0" fontId="46" fillId="9" borderId="0" applyNumberFormat="0" applyBorder="0" applyAlignment="0" applyProtection="0"/>
    <xf numFmtId="0" fontId="76" fillId="0" borderId="77" applyNumberFormat="0" applyFill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0" fillId="14" borderId="5">
      <protection locked="0"/>
    </xf>
    <xf numFmtId="0" fontId="50" fillId="14" borderId="5">
      <protection locked="0"/>
    </xf>
    <xf numFmtId="0" fontId="46" fillId="9" borderId="0" applyNumberFormat="0" applyBorder="0" applyAlignment="0" applyProtection="0"/>
    <xf numFmtId="0" fontId="76" fillId="0" borderId="77" applyNumberFormat="0" applyFill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0" fillId="14" borderId="5">
      <protection locked="0"/>
    </xf>
    <xf numFmtId="0" fontId="50" fillId="14" borderId="5">
      <protection locked="0"/>
    </xf>
    <xf numFmtId="0" fontId="46" fillId="9" borderId="0" applyNumberFormat="0" applyBorder="0" applyAlignment="0" applyProtection="0"/>
    <xf numFmtId="0" fontId="76" fillId="0" borderId="77" applyNumberFormat="0" applyFill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0" fillId="14" borderId="5">
      <protection locked="0"/>
    </xf>
    <xf numFmtId="0" fontId="50" fillId="14" borderId="5">
      <protection locked="0"/>
    </xf>
    <xf numFmtId="0" fontId="46" fillId="9" borderId="0" applyNumberFormat="0" applyBorder="0" applyAlignment="0" applyProtection="0"/>
    <xf numFmtId="0" fontId="76" fillId="0" borderId="77" applyNumberFormat="0" applyFill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0" fillId="14" borderId="5">
      <protection locked="0"/>
    </xf>
    <xf numFmtId="0" fontId="50" fillId="14" borderId="5">
      <protection locked="0"/>
    </xf>
    <xf numFmtId="0" fontId="46" fillId="9" borderId="0" applyNumberFormat="0" applyBorder="0" applyAlignment="0" applyProtection="0"/>
    <xf numFmtId="0" fontId="50" fillId="14" borderId="5">
      <protection locked="0"/>
    </xf>
    <xf numFmtId="0" fontId="44" fillId="9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6" fillId="17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44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0" borderId="0" applyNumberFormat="0" applyBorder="0" applyAlignment="0" applyProtection="0"/>
    <xf numFmtId="0" fontId="2" fillId="0" borderId="7" applyNumberFormat="0" applyFill="0" applyProtection="0">
      <alignment horizontal="left"/>
    </xf>
    <xf numFmtId="0" fontId="20" fillId="20" borderId="0" applyNumberFormat="0" applyBorder="0" applyAlignment="0" applyProtection="0"/>
    <xf numFmtId="0" fontId="2" fillId="0" borderId="7" applyNumberFormat="0" applyFill="0" applyProtection="0">
      <alignment horizontal="left"/>
    </xf>
    <xf numFmtId="0" fontId="20" fillId="20" borderId="0" applyNumberFormat="0" applyBorder="0" applyAlignment="0" applyProtection="0"/>
    <xf numFmtId="0" fontId="2" fillId="0" borderId="7" applyNumberFormat="0" applyFill="0" applyProtection="0">
      <alignment horizontal="left"/>
    </xf>
    <xf numFmtId="0" fontId="20" fillId="20" borderId="0" applyNumberFormat="0" applyBorder="0" applyAlignment="0" applyProtection="0"/>
    <xf numFmtId="0" fontId="2" fillId="0" borderId="7" applyNumberFormat="0" applyFill="0" applyProtection="0">
      <alignment horizontal="left"/>
    </xf>
    <xf numFmtId="0" fontId="20" fillId="20" borderId="0" applyNumberFormat="0" applyBorder="0" applyAlignment="0" applyProtection="0"/>
    <xf numFmtId="0" fontId="2" fillId="0" borderId="7" applyNumberFormat="0" applyFill="0" applyProtection="0">
      <alignment horizontal="left"/>
    </xf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37" fillId="5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37" fillId="5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37" fillId="5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37" fillId="5" borderId="0" applyNumberFormat="0" applyBorder="0" applyAlignment="0" applyProtection="0">
      <alignment vertical="center"/>
    </xf>
    <xf numFmtId="0" fontId="46" fillId="17" borderId="0" applyNumberFormat="0" applyBorder="0" applyAlignment="0" applyProtection="0"/>
    <xf numFmtId="0" fontId="37" fillId="5" borderId="0" applyNumberFormat="0" applyBorder="0" applyAlignment="0" applyProtection="0">
      <alignment vertical="center"/>
    </xf>
    <xf numFmtId="0" fontId="46" fillId="17" borderId="0" applyNumberFormat="0" applyBorder="0" applyAlignment="0" applyProtection="0"/>
    <xf numFmtId="0" fontId="37" fillId="5" borderId="0" applyNumberFormat="0" applyBorder="0" applyAlignment="0" applyProtection="0">
      <alignment vertical="center"/>
    </xf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57" fillId="4" borderId="0" applyNumberFormat="0" applyBorder="0" applyAlignment="0" applyProtection="0">
      <alignment vertical="center"/>
    </xf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4" fillId="25" borderId="0" applyNumberFormat="0" applyBorder="0" applyAlignment="0" applyProtection="0">
      <alignment vertical="center"/>
    </xf>
    <xf numFmtId="0" fontId="67" fillId="0" borderId="0">
      <alignment horizontal="center" wrapText="1"/>
      <protection locked="0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4" fillId="16" borderId="70" applyNumberFormat="0" applyAlignment="0" applyProtection="0">
      <alignment vertical="center"/>
    </xf>
    <xf numFmtId="187" fontId="80" fillId="0" borderId="0" applyFill="0" applyBorder="0" applyAlignment="0"/>
    <xf numFmtId="0" fontId="37" fillId="5" borderId="0" applyNumberFormat="0" applyBorder="0" applyAlignment="0" applyProtection="0">
      <alignment vertical="center"/>
    </xf>
    <xf numFmtId="0" fontId="59" fillId="16" borderId="71" applyNumberFormat="0" applyAlignment="0" applyProtection="0">
      <alignment vertical="center"/>
    </xf>
    <xf numFmtId="0" fontId="59" fillId="16" borderId="71" applyNumberFormat="0" applyAlignment="0" applyProtection="0">
      <alignment vertical="center"/>
    </xf>
    <xf numFmtId="0" fontId="59" fillId="16" borderId="71" applyNumberFormat="0" applyAlignment="0" applyProtection="0">
      <alignment vertical="center"/>
    </xf>
    <xf numFmtId="0" fontId="59" fillId="16" borderId="71" applyNumberFormat="0" applyAlignment="0" applyProtection="0">
      <alignment vertical="center"/>
    </xf>
    <xf numFmtId="0" fontId="59" fillId="16" borderId="71" applyNumberFormat="0" applyAlignment="0" applyProtection="0">
      <alignment vertical="center"/>
    </xf>
    <xf numFmtId="0" fontId="59" fillId="16" borderId="71" applyNumberFormat="0" applyAlignment="0" applyProtection="0">
      <alignment vertical="center"/>
    </xf>
    <xf numFmtId="0" fontId="59" fillId="16" borderId="71" applyNumberFormat="0" applyAlignment="0" applyProtection="0">
      <alignment vertical="center"/>
    </xf>
    <xf numFmtId="0" fontId="59" fillId="16" borderId="71" applyNumberFormat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62" fillId="11" borderId="73" applyNumberFormat="0" applyAlignment="0" applyProtection="0">
      <alignment vertical="center"/>
    </xf>
    <xf numFmtId="0" fontId="62" fillId="11" borderId="73" applyNumberFormat="0" applyAlignment="0" applyProtection="0">
      <alignment vertical="center"/>
    </xf>
    <xf numFmtId="0" fontId="62" fillId="11" borderId="73" applyNumberFormat="0" applyAlignment="0" applyProtection="0">
      <alignment vertical="center"/>
    </xf>
    <xf numFmtId="0" fontId="62" fillId="11" borderId="73" applyNumberFormat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2" fillId="11" borderId="73" applyNumberFormat="0" applyAlignment="0" applyProtection="0">
      <alignment vertical="center"/>
    </xf>
    <xf numFmtId="0" fontId="62" fillId="11" borderId="73" applyNumberFormat="0" applyAlignment="0" applyProtection="0">
      <alignment vertical="center"/>
    </xf>
    <xf numFmtId="0" fontId="62" fillId="11" borderId="73" applyNumberFormat="0" applyAlignment="0" applyProtection="0">
      <alignment vertical="center"/>
    </xf>
    <xf numFmtId="0" fontId="62" fillId="11" borderId="73" applyNumberFormat="0" applyAlignment="0" applyProtection="0">
      <alignment vertical="center"/>
    </xf>
    <xf numFmtId="0" fontId="80" fillId="0" borderId="0" applyNumberFormat="0" applyFill="0" applyBorder="0" applyAlignment="0" applyProtection="0">
      <alignment vertical="top"/>
    </xf>
    <xf numFmtId="0" fontId="104" fillId="0" borderId="0"/>
    <xf numFmtId="0" fontId="37" fillId="5" borderId="0" applyNumberFormat="0" applyBorder="0" applyAlignment="0" applyProtection="0">
      <alignment vertical="center"/>
    </xf>
    <xf numFmtId="41" fontId="104" fillId="0" borderId="0" applyFont="0" applyFill="0" applyBorder="0" applyAlignment="0" applyProtection="0"/>
    <xf numFmtId="189" fontId="31" fillId="0" borderId="0"/>
    <xf numFmtId="0" fontId="51" fillId="10" borderId="0" applyNumberFormat="0" applyBorder="0" applyAlignment="0" applyProtection="0">
      <alignment vertical="center"/>
    </xf>
    <xf numFmtId="191" fontId="104" fillId="0" borderId="0" applyFont="0" applyFill="0" applyBorder="0" applyAlignment="0" applyProtection="0"/>
    <xf numFmtId="0" fontId="55" fillId="4" borderId="0" applyNumberFormat="0" applyBorder="0" applyAlignment="0" applyProtection="0">
      <alignment vertical="center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82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0" fontId="49" fillId="0" borderId="2" applyNumberFormat="0" applyFill="0" applyProtection="0">
      <alignment horizontal="center"/>
    </xf>
    <xf numFmtId="0" fontId="16" fillId="0" borderId="0" applyProtection="0"/>
    <xf numFmtId="0" fontId="50" fillId="14" borderId="5">
      <protection locked="0"/>
    </xf>
    <xf numFmtId="0" fontId="50" fillId="14" borderId="5">
      <protection locked="0"/>
    </xf>
    <xf numFmtId="177" fontId="2" fillId="0" borderId="2" applyFill="0" applyProtection="0">
      <alignment horizontal="right"/>
    </xf>
    <xf numFmtId="177" fontId="2" fillId="0" borderId="2" applyFill="0" applyProtection="0">
      <alignment horizontal="right"/>
    </xf>
    <xf numFmtId="195" fontId="31" fillId="0" borderId="0"/>
    <xf numFmtId="0" fontId="41" fillId="1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41" fontId="104" fillId="0" borderId="0" applyFont="0" applyFill="0" applyBorder="0" applyAlignment="0" applyProtection="0">
      <alignment vertical="center"/>
    </xf>
    <xf numFmtId="2" fontId="16" fillId="0" borderId="0" applyProtection="0"/>
    <xf numFmtId="0" fontId="104" fillId="0" borderId="0"/>
    <xf numFmtId="0" fontId="41" fillId="8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104" fillId="0" borderId="0"/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3" fillId="0" borderId="67" applyNumberFormat="0" applyAlignment="0" applyProtection="0">
      <alignment horizontal="left" vertical="center"/>
    </xf>
    <xf numFmtId="0" fontId="53" fillId="0" borderId="67" applyNumberFormat="0" applyAlignment="0" applyProtection="0">
      <alignment horizontal="left" vertical="center"/>
    </xf>
    <xf numFmtId="0" fontId="33" fillId="16" borderId="0" applyNumberFormat="0" applyBorder="0" applyAlignment="0" applyProtection="0"/>
    <xf numFmtId="0" fontId="53" fillId="0" borderId="67" applyNumberFormat="0" applyAlignment="0" applyProtection="0">
      <alignment horizontal="left" vertical="center"/>
    </xf>
    <xf numFmtId="0" fontId="104" fillId="0" borderId="0"/>
    <xf numFmtId="0" fontId="104" fillId="0" borderId="0"/>
    <xf numFmtId="0" fontId="53" fillId="0" borderId="67" applyNumberFormat="0" applyAlignment="0" applyProtection="0">
      <alignment horizontal="left" vertical="center"/>
    </xf>
    <xf numFmtId="0" fontId="41" fillId="8" borderId="0" applyNumberFormat="0" applyBorder="0" applyAlignment="0" applyProtection="0">
      <alignment vertical="center"/>
    </xf>
    <xf numFmtId="0" fontId="104" fillId="0" borderId="0"/>
    <xf numFmtId="0" fontId="104" fillId="0" borderId="0"/>
    <xf numFmtId="0" fontId="53" fillId="0" borderId="67" applyNumberFormat="0" applyAlignment="0" applyProtection="0">
      <alignment horizontal="left" vertical="center"/>
    </xf>
    <xf numFmtId="0" fontId="104" fillId="0" borderId="0"/>
    <xf numFmtId="0" fontId="53" fillId="0" borderId="67" applyNumberFormat="0" applyAlignment="0" applyProtection="0">
      <alignment horizontal="left" vertical="center"/>
    </xf>
    <xf numFmtId="0" fontId="104" fillId="0" borderId="0"/>
    <xf numFmtId="0" fontId="53" fillId="0" borderId="67" applyNumberFormat="0" applyAlignment="0" applyProtection="0">
      <alignment horizontal="left" vertical="center"/>
    </xf>
    <xf numFmtId="0" fontId="104" fillId="0" borderId="0"/>
    <xf numFmtId="0" fontId="104" fillId="0" borderId="0"/>
    <xf numFmtId="0" fontId="53" fillId="0" borderId="67" applyNumberFormat="0" applyAlignment="0" applyProtection="0">
      <alignment horizontal="left" vertical="center"/>
    </xf>
    <xf numFmtId="0" fontId="53" fillId="0" borderId="67" applyNumberFormat="0" applyAlignment="0" applyProtection="0">
      <alignment horizontal="left" vertical="center"/>
    </xf>
    <xf numFmtId="0" fontId="104" fillId="0" borderId="0"/>
    <xf numFmtId="0" fontId="104" fillId="0" borderId="0"/>
    <xf numFmtId="0" fontId="104" fillId="24" borderId="75" applyNumberFormat="0" applyFont="0" applyAlignment="0" applyProtection="0">
      <alignment vertical="center"/>
    </xf>
    <xf numFmtId="0" fontId="53" fillId="0" borderId="67" applyNumberFormat="0" applyAlignment="0" applyProtection="0">
      <alignment horizontal="left" vertical="center"/>
    </xf>
    <xf numFmtId="0" fontId="53" fillId="0" borderId="67" applyNumberFormat="0" applyAlignment="0" applyProtection="0">
      <alignment horizontal="left" vertical="center"/>
    </xf>
    <xf numFmtId="0" fontId="104" fillId="0" borderId="0"/>
    <xf numFmtId="0" fontId="104" fillId="0" borderId="0"/>
    <xf numFmtId="0" fontId="53" fillId="0" borderId="67" applyNumberFormat="0" applyAlignment="0" applyProtection="0">
      <alignment horizontal="left" vertical="center"/>
    </xf>
    <xf numFmtId="0" fontId="53" fillId="0" borderId="67" applyNumberFormat="0" applyAlignment="0" applyProtection="0">
      <alignment horizontal="left" vertical="center"/>
    </xf>
    <xf numFmtId="0" fontId="104" fillId="0" borderId="0"/>
    <xf numFmtId="0" fontId="104" fillId="0" borderId="0"/>
    <xf numFmtId="0" fontId="53" fillId="0" borderId="67" applyNumberFormat="0" applyAlignment="0" applyProtection="0">
      <alignment horizontal="left" vertical="center"/>
    </xf>
    <xf numFmtId="0" fontId="53" fillId="0" borderId="67" applyNumberFormat="0" applyAlignment="0" applyProtection="0">
      <alignment horizontal="left" vertical="center"/>
    </xf>
    <xf numFmtId="0" fontId="53" fillId="0" borderId="67" applyNumberFormat="0" applyAlignment="0" applyProtection="0">
      <alignment horizontal="left" vertical="center"/>
    </xf>
    <xf numFmtId="0" fontId="104" fillId="0" borderId="0"/>
    <xf numFmtId="0" fontId="37" fillId="4" borderId="0" applyNumberFormat="0" applyBorder="0" applyAlignment="0" applyProtection="0">
      <alignment vertical="center"/>
    </xf>
    <xf numFmtId="0" fontId="53" fillId="0" borderId="67" applyNumberFormat="0" applyAlignment="0" applyProtection="0">
      <alignment horizontal="left" vertical="center"/>
    </xf>
    <xf numFmtId="0" fontId="53" fillId="0" borderId="67" applyNumberFormat="0" applyAlignment="0" applyProtection="0">
      <alignment horizontal="left" vertical="center"/>
    </xf>
    <xf numFmtId="0" fontId="104" fillId="0" borderId="0"/>
    <xf numFmtId="0" fontId="53" fillId="0" borderId="67" applyNumberFormat="0" applyAlignment="0" applyProtection="0">
      <alignment horizontal="left" vertical="center"/>
    </xf>
    <xf numFmtId="0" fontId="53" fillId="0" borderId="67" applyNumberFormat="0" applyAlignment="0" applyProtection="0">
      <alignment horizontal="left" vertical="center"/>
    </xf>
    <xf numFmtId="0" fontId="53" fillId="0" borderId="67" applyNumberFormat="0" applyAlignment="0" applyProtection="0">
      <alignment horizontal="left" vertical="center"/>
    </xf>
    <xf numFmtId="0" fontId="53" fillId="0" borderId="67" applyNumberFormat="0" applyAlignment="0" applyProtection="0">
      <alignment horizontal="left" vertical="center"/>
    </xf>
    <xf numFmtId="0" fontId="37" fillId="5" borderId="0" applyNumberFormat="0" applyBorder="0" applyAlignment="0" applyProtection="0">
      <alignment vertical="center"/>
    </xf>
    <xf numFmtId="0" fontId="53" fillId="0" borderId="67" applyNumberFormat="0" applyAlignment="0" applyProtection="0">
      <alignment horizontal="left" vertical="center"/>
    </xf>
    <xf numFmtId="0" fontId="53" fillId="0" borderId="67" applyNumberFormat="0" applyAlignment="0" applyProtection="0">
      <alignment horizontal="left" vertical="center"/>
    </xf>
    <xf numFmtId="0" fontId="53" fillId="0" borderId="67" applyNumberFormat="0" applyAlignment="0" applyProtection="0">
      <alignment horizontal="left" vertical="center"/>
    </xf>
    <xf numFmtId="0" fontId="53" fillId="0" borderId="67" applyNumberFormat="0" applyAlignment="0" applyProtection="0">
      <alignment horizontal="left" vertical="center"/>
    </xf>
    <xf numFmtId="0" fontId="53" fillId="0" borderId="67" applyNumberFormat="0" applyAlignment="0" applyProtection="0">
      <alignment horizontal="left" vertical="center"/>
    </xf>
    <xf numFmtId="0" fontId="53" fillId="0" borderId="67" applyNumberFormat="0" applyAlignment="0" applyProtection="0">
      <alignment horizontal="left" vertical="center"/>
    </xf>
    <xf numFmtId="0" fontId="68" fillId="10" borderId="0" applyNumberFormat="0" applyBorder="0" applyAlignment="0" applyProtection="0">
      <alignment vertical="center"/>
    </xf>
    <xf numFmtId="0" fontId="53" fillId="0" borderId="67" applyNumberFormat="0" applyAlignment="0" applyProtection="0">
      <alignment horizontal="left" vertical="center"/>
    </xf>
    <xf numFmtId="0" fontId="53" fillId="0" borderId="67" applyNumberFormat="0" applyAlignment="0" applyProtection="0">
      <alignment horizontal="left" vertical="center"/>
    </xf>
    <xf numFmtId="0" fontId="53" fillId="0" borderId="67" applyNumberFormat="0" applyAlignment="0" applyProtection="0">
      <alignment horizontal="left" vertical="center"/>
    </xf>
    <xf numFmtId="0" fontId="53" fillId="0" borderId="67" applyNumberFormat="0" applyAlignment="0" applyProtection="0">
      <alignment horizontal="left" vertical="center"/>
    </xf>
    <xf numFmtId="0" fontId="53" fillId="0" borderId="67" applyNumberFormat="0" applyAlignment="0" applyProtection="0">
      <alignment horizontal="left" vertical="center"/>
    </xf>
    <xf numFmtId="0" fontId="53" fillId="0" borderId="29">
      <alignment horizontal="left" vertical="center"/>
    </xf>
    <xf numFmtId="0" fontId="41" fillId="8" borderId="0" applyNumberFormat="0" applyBorder="0" applyAlignment="0" applyProtection="0">
      <alignment vertical="center"/>
    </xf>
    <xf numFmtId="0" fontId="53" fillId="0" borderId="29">
      <alignment horizontal="left" vertical="center"/>
    </xf>
    <xf numFmtId="0" fontId="41" fillId="8" borderId="0" applyNumberFormat="0" applyBorder="0" applyAlignment="0" applyProtection="0">
      <alignment vertical="center"/>
    </xf>
    <xf numFmtId="0" fontId="53" fillId="0" borderId="29">
      <alignment horizontal="left" vertical="center"/>
    </xf>
    <xf numFmtId="0" fontId="41" fillId="8" borderId="0" applyNumberFormat="0" applyBorder="0" applyAlignment="0" applyProtection="0">
      <alignment vertical="center"/>
    </xf>
    <xf numFmtId="0" fontId="53" fillId="0" borderId="29">
      <alignment horizontal="left" vertical="center"/>
    </xf>
    <xf numFmtId="0" fontId="37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/>
    <xf numFmtId="0" fontId="53" fillId="0" borderId="29">
      <alignment horizontal="left" vertical="center"/>
    </xf>
    <xf numFmtId="0" fontId="40" fillId="5" borderId="0" applyNumberFormat="0" applyBorder="0" applyAlignment="0" applyProtection="0"/>
    <xf numFmtId="0" fontId="53" fillId="0" borderId="29">
      <alignment horizontal="left" vertical="center"/>
    </xf>
    <xf numFmtId="0" fontId="53" fillId="0" borderId="29">
      <alignment horizontal="left" vertical="center"/>
    </xf>
    <xf numFmtId="0" fontId="40" fillId="5" borderId="0" applyNumberFormat="0" applyBorder="0" applyAlignment="0" applyProtection="0"/>
    <xf numFmtId="0" fontId="53" fillId="0" borderId="29">
      <alignment horizontal="left" vertical="center"/>
    </xf>
    <xf numFmtId="0" fontId="53" fillId="0" borderId="29">
      <alignment horizontal="left" vertical="center"/>
    </xf>
    <xf numFmtId="0" fontId="40" fillId="5" borderId="0" applyNumberFormat="0" applyBorder="0" applyAlignment="0" applyProtection="0"/>
    <xf numFmtId="196" fontId="104" fillId="0" borderId="0" applyFont="0" applyFill="0" applyBorder="0" applyAlignment="0" applyProtection="0"/>
    <xf numFmtId="0" fontId="53" fillId="0" borderId="29">
      <alignment horizontal="left" vertical="center"/>
    </xf>
    <xf numFmtId="0" fontId="53" fillId="0" borderId="29">
      <alignment horizontal="left" vertical="center"/>
    </xf>
    <xf numFmtId="0" fontId="40" fillId="5" borderId="0" applyNumberFormat="0" applyBorder="0" applyAlignment="0" applyProtection="0"/>
    <xf numFmtId="0" fontId="53" fillId="0" borderId="29">
      <alignment horizontal="left" vertical="center"/>
    </xf>
    <xf numFmtId="0" fontId="53" fillId="0" borderId="29">
      <alignment horizontal="left" vertical="center"/>
    </xf>
    <xf numFmtId="0" fontId="37" fillId="5" borderId="0" applyNumberFormat="0" applyBorder="0" applyAlignment="0" applyProtection="0">
      <alignment vertical="center"/>
    </xf>
    <xf numFmtId="0" fontId="53" fillId="0" borderId="29">
      <alignment horizontal="left" vertical="center"/>
    </xf>
    <xf numFmtId="0" fontId="53" fillId="0" borderId="29">
      <alignment horizontal="left" vertical="center"/>
    </xf>
    <xf numFmtId="0" fontId="53" fillId="0" borderId="29">
      <alignment horizontal="left" vertical="center"/>
    </xf>
    <xf numFmtId="0" fontId="37" fillId="5" borderId="0" applyNumberFormat="0" applyBorder="0" applyAlignment="0" applyProtection="0">
      <alignment vertical="center"/>
    </xf>
    <xf numFmtId="0" fontId="53" fillId="0" borderId="29">
      <alignment horizontal="left" vertical="center"/>
    </xf>
    <xf numFmtId="0" fontId="53" fillId="0" borderId="29">
      <alignment horizontal="left" vertical="center"/>
    </xf>
    <xf numFmtId="0" fontId="53" fillId="0" borderId="29">
      <alignment horizontal="left" vertical="center"/>
    </xf>
    <xf numFmtId="0" fontId="53" fillId="0" borderId="29">
      <alignment horizontal="left" vertical="center"/>
    </xf>
    <xf numFmtId="0" fontId="2" fillId="0" borderId="0"/>
    <xf numFmtId="0" fontId="53" fillId="0" borderId="29">
      <alignment horizontal="left" vertical="center"/>
    </xf>
    <xf numFmtId="0" fontId="53" fillId="0" borderId="29">
      <alignment horizontal="left" vertical="center"/>
    </xf>
    <xf numFmtId="0" fontId="53" fillId="0" borderId="29">
      <alignment horizontal="left" vertical="center"/>
    </xf>
    <xf numFmtId="0" fontId="53" fillId="0" borderId="29">
      <alignment horizontal="left" vertical="center"/>
    </xf>
    <xf numFmtId="0" fontId="53" fillId="0" borderId="29">
      <alignment horizontal="left" vertical="center"/>
    </xf>
    <xf numFmtId="0" fontId="53" fillId="0" borderId="29">
      <alignment horizontal="left" vertical="center"/>
    </xf>
    <xf numFmtId="0" fontId="53" fillId="0" borderId="29">
      <alignment horizontal="left" vertical="center"/>
    </xf>
    <xf numFmtId="0" fontId="68" fillId="10" borderId="0" applyNumberFormat="0" applyBorder="0" applyAlignment="0" applyProtection="0">
      <alignment vertical="center"/>
    </xf>
    <xf numFmtId="0" fontId="53" fillId="0" borderId="29">
      <alignment horizontal="left" vertical="center"/>
    </xf>
    <xf numFmtId="0" fontId="53" fillId="0" borderId="29">
      <alignment horizontal="left" vertical="center"/>
    </xf>
    <xf numFmtId="0" fontId="53" fillId="0" borderId="29">
      <alignment horizontal="left" vertical="center"/>
    </xf>
    <xf numFmtId="0" fontId="41" fillId="8" borderId="0" applyNumberFormat="0" applyBorder="0" applyAlignment="0" applyProtection="0">
      <alignment vertical="center"/>
    </xf>
    <xf numFmtId="0" fontId="53" fillId="0" borderId="29">
      <alignment horizontal="left" vertical="center"/>
    </xf>
    <xf numFmtId="0" fontId="71" fillId="0" borderId="0" applyNumberFormat="0" applyFill="0" applyBorder="0" applyAlignment="0" applyProtection="0">
      <alignment vertical="center"/>
    </xf>
    <xf numFmtId="0" fontId="59" fillId="16" borderId="71" applyNumberFormat="0" applyAlignment="0" applyProtection="0">
      <alignment vertical="center"/>
    </xf>
    <xf numFmtId="0" fontId="104" fillId="24" borderId="75" applyNumberFormat="0" applyFont="0" applyAlignment="0" applyProtection="0">
      <alignment vertical="center"/>
    </xf>
    <xf numFmtId="0" fontId="52" fillId="0" borderId="69" applyNumberFormat="0" applyFill="0" applyAlignment="0" applyProtection="0">
      <alignment vertical="center"/>
    </xf>
    <xf numFmtId="0" fontId="59" fillId="16" borderId="71" applyNumberFormat="0" applyAlignment="0" applyProtection="0">
      <alignment vertical="center"/>
    </xf>
    <xf numFmtId="0" fontId="52" fillId="0" borderId="69" applyNumberFormat="0" applyFill="0" applyAlignment="0" applyProtection="0">
      <alignment vertical="center"/>
    </xf>
    <xf numFmtId="0" fontId="52" fillId="0" borderId="69" applyNumberFormat="0" applyFill="0" applyAlignment="0" applyProtection="0">
      <alignment vertical="center"/>
    </xf>
    <xf numFmtId="0" fontId="52" fillId="0" borderId="69" applyNumberFormat="0" applyFill="0" applyAlignment="0" applyProtection="0">
      <alignment vertical="center"/>
    </xf>
    <xf numFmtId="0" fontId="52" fillId="0" borderId="69" applyNumberFormat="0" applyFill="0" applyAlignment="0" applyProtection="0">
      <alignment vertical="center"/>
    </xf>
    <xf numFmtId="0" fontId="52" fillId="0" borderId="69" applyNumberFormat="0" applyFill="0" applyAlignment="0" applyProtection="0">
      <alignment vertical="center"/>
    </xf>
    <xf numFmtId="0" fontId="61" fillId="0" borderId="72" applyNumberFormat="0" applyFill="0" applyAlignment="0" applyProtection="0">
      <alignment vertical="center"/>
    </xf>
    <xf numFmtId="0" fontId="52" fillId="0" borderId="69" applyNumberFormat="0" applyFill="0" applyAlignment="0" applyProtection="0">
      <alignment vertical="center"/>
    </xf>
    <xf numFmtId="0" fontId="52" fillId="0" borderId="69" applyNumberFormat="0" applyFill="0" applyAlignment="0" applyProtection="0">
      <alignment vertical="center"/>
    </xf>
    <xf numFmtId="0" fontId="104" fillId="0" borderId="0">
      <alignment vertical="center"/>
    </xf>
    <xf numFmtId="0" fontId="52" fillId="0" borderId="69" applyNumberFormat="0" applyFill="0" applyAlignment="0" applyProtection="0">
      <alignment vertical="center"/>
    </xf>
    <xf numFmtId="0" fontId="70" fillId="0" borderId="74" applyNumberFormat="0" applyFill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70" fillId="0" borderId="74" applyNumberFormat="0" applyFill="0" applyAlignment="0" applyProtection="0">
      <alignment vertical="center"/>
    </xf>
    <xf numFmtId="0" fontId="70" fillId="0" borderId="74" applyNumberFormat="0" applyFill="0" applyAlignment="0" applyProtection="0">
      <alignment vertical="center"/>
    </xf>
    <xf numFmtId="0" fontId="70" fillId="0" borderId="74" applyNumberFormat="0" applyFill="0" applyAlignment="0" applyProtection="0">
      <alignment vertical="center"/>
    </xf>
    <xf numFmtId="0" fontId="70" fillId="0" borderId="74" applyNumberFormat="0" applyFill="0" applyAlignment="0" applyProtection="0">
      <alignment vertical="center"/>
    </xf>
    <xf numFmtId="0" fontId="70" fillId="0" borderId="74" applyNumberFormat="0" applyFill="0" applyAlignment="0" applyProtection="0">
      <alignment vertical="center"/>
    </xf>
    <xf numFmtId="0" fontId="70" fillId="0" borderId="74" applyNumberFormat="0" applyFill="0" applyAlignment="0" applyProtection="0">
      <alignment vertical="center"/>
    </xf>
    <xf numFmtId="0" fontId="70" fillId="0" borderId="74" applyNumberFormat="0" applyFill="0" applyAlignment="0" applyProtection="0">
      <alignment vertical="center"/>
    </xf>
    <xf numFmtId="0" fontId="70" fillId="0" borderId="74" applyNumberFormat="0" applyFill="0" applyAlignment="0" applyProtection="0">
      <alignment vertical="center"/>
    </xf>
    <xf numFmtId="0" fontId="61" fillId="0" borderId="72" applyNumberFormat="0" applyFill="0" applyAlignment="0" applyProtection="0">
      <alignment vertical="center"/>
    </xf>
    <xf numFmtId="0" fontId="50" fillId="14" borderId="5">
      <protection locked="0"/>
    </xf>
    <xf numFmtId="0" fontId="61" fillId="0" borderId="72" applyNumberFormat="0" applyFill="0" applyAlignment="0" applyProtection="0">
      <alignment vertical="center"/>
    </xf>
    <xf numFmtId="0" fontId="50" fillId="14" borderId="5">
      <protection locked="0"/>
    </xf>
    <xf numFmtId="0" fontId="50" fillId="14" borderId="5">
      <protection locked="0"/>
    </xf>
    <xf numFmtId="0" fontId="61" fillId="0" borderId="72" applyNumberFormat="0" applyFill="0" applyAlignment="0" applyProtection="0">
      <alignment vertical="center"/>
    </xf>
    <xf numFmtId="0" fontId="50" fillId="14" borderId="5">
      <protection locked="0"/>
    </xf>
    <xf numFmtId="0" fontId="50" fillId="14" borderId="5">
      <protection locked="0"/>
    </xf>
    <xf numFmtId="0" fontId="61" fillId="0" borderId="72" applyNumberFormat="0" applyFill="0" applyAlignment="0" applyProtection="0">
      <alignment vertical="center"/>
    </xf>
    <xf numFmtId="0" fontId="50" fillId="14" borderId="5">
      <protection locked="0"/>
    </xf>
    <xf numFmtId="0" fontId="50" fillId="14" borderId="5">
      <protection locked="0"/>
    </xf>
    <xf numFmtId="0" fontId="61" fillId="0" borderId="72" applyNumberFormat="0" applyFill="0" applyAlignment="0" applyProtection="0">
      <alignment vertical="center"/>
    </xf>
    <xf numFmtId="0" fontId="50" fillId="14" borderId="5">
      <protection locked="0"/>
    </xf>
    <xf numFmtId="0" fontId="50" fillId="14" borderId="5">
      <protection locked="0"/>
    </xf>
    <xf numFmtId="0" fontId="54" fillId="16" borderId="70" applyNumberFormat="0" applyAlignment="0" applyProtection="0">
      <alignment vertical="center"/>
    </xf>
    <xf numFmtId="0" fontId="61" fillId="0" borderId="72" applyNumberFormat="0" applyFill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50" fillId="14" borderId="5">
      <protection locked="0"/>
    </xf>
    <xf numFmtId="0" fontId="50" fillId="14" borderId="5">
      <protection locked="0"/>
    </xf>
    <xf numFmtId="0" fontId="54" fillId="16" borderId="70" applyNumberFormat="0" applyAlignment="0" applyProtection="0">
      <alignment vertical="center"/>
    </xf>
    <xf numFmtId="0" fontId="61" fillId="0" borderId="72" applyNumberFormat="0" applyFill="0" applyAlignment="0" applyProtection="0">
      <alignment vertical="center"/>
    </xf>
    <xf numFmtId="0" fontId="50" fillId="14" borderId="5">
      <protection locked="0"/>
    </xf>
    <xf numFmtId="0" fontId="50" fillId="14" borderId="5">
      <protection locked="0"/>
    </xf>
    <xf numFmtId="0" fontId="54" fillId="16" borderId="70" applyNumberFormat="0" applyAlignment="0" applyProtection="0">
      <alignment vertical="center"/>
    </xf>
    <xf numFmtId="0" fontId="61" fillId="0" borderId="7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54" fillId="16" borderId="70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4" fillId="0" borderId="0"/>
    <xf numFmtId="0" fontId="61" fillId="0" borderId="0" applyNumberFormat="0" applyFill="0" applyBorder="0" applyAlignment="0" applyProtection="0">
      <alignment vertical="center"/>
    </xf>
    <xf numFmtId="0" fontId="104" fillId="0" borderId="0"/>
    <xf numFmtId="0" fontId="81" fillId="0" borderId="0" applyProtection="0"/>
    <xf numFmtId="0" fontId="41" fillId="8" borderId="0" applyNumberFormat="0" applyBorder="0" applyAlignment="0" applyProtection="0">
      <alignment vertical="center"/>
    </xf>
    <xf numFmtId="0" fontId="53" fillId="0" borderId="0" applyProtection="0"/>
    <xf numFmtId="0" fontId="65" fillId="20" borderId="71" applyNumberFormat="0" applyAlignment="0" applyProtection="0">
      <alignment vertical="center"/>
    </xf>
    <xf numFmtId="43" fontId="104" fillId="0" borderId="0" applyFont="0" applyFill="0" applyBorder="0" applyAlignment="0" applyProtection="0"/>
    <xf numFmtId="0" fontId="41" fillId="8" borderId="0" applyNumberFormat="0" applyBorder="0" applyAlignment="0" applyProtection="0">
      <alignment vertical="center"/>
    </xf>
    <xf numFmtId="0" fontId="33" fillId="24" borderId="15" applyNumberFormat="0" applyBorder="0" applyAlignment="0" applyProtection="0"/>
    <xf numFmtId="0" fontId="41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3" fillId="24" borderId="15" applyNumberFormat="0" applyBorder="0" applyAlignment="0" applyProtection="0"/>
    <xf numFmtId="0" fontId="33" fillId="24" borderId="15" applyNumberFormat="0" applyBorder="0" applyAlignment="0" applyProtection="0"/>
    <xf numFmtId="0" fontId="33" fillId="24" borderId="15" applyNumberFormat="0" applyBorder="0" applyAlignment="0" applyProtection="0"/>
    <xf numFmtId="0" fontId="33" fillId="24" borderId="15" applyNumberFormat="0" applyBorder="0" applyAlignment="0" applyProtection="0"/>
    <xf numFmtId="0" fontId="33" fillId="24" borderId="15" applyNumberFormat="0" applyBorder="0" applyAlignment="0" applyProtection="0"/>
    <xf numFmtId="0" fontId="33" fillId="24" borderId="15" applyNumberFormat="0" applyBorder="0" applyAlignment="0" applyProtection="0"/>
    <xf numFmtId="0" fontId="47" fillId="13" borderId="0" applyNumberFormat="0" applyBorder="0" applyAlignment="0" applyProtection="0">
      <alignment vertical="center"/>
    </xf>
    <xf numFmtId="0" fontId="33" fillId="24" borderId="15" applyNumberFormat="0" applyBorder="0" applyAlignment="0" applyProtection="0"/>
    <xf numFmtId="0" fontId="33" fillId="24" borderId="15" applyNumberFormat="0" applyBorder="0" applyAlignment="0" applyProtection="0"/>
    <xf numFmtId="0" fontId="33" fillId="24" borderId="15" applyNumberFormat="0" applyBorder="0" applyAlignment="0" applyProtection="0"/>
    <xf numFmtId="0" fontId="33" fillId="24" borderId="15" applyNumberFormat="0" applyBorder="0" applyAlignment="0" applyProtection="0"/>
    <xf numFmtId="0" fontId="33" fillId="24" borderId="15" applyNumberFormat="0" applyBorder="0" applyAlignment="0" applyProtection="0"/>
    <xf numFmtId="0" fontId="33" fillId="24" borderId="15" applyNumberFormat="0" applyBorder="0" applyAlignment="0" applyProtection="0"/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33" fillId="24" borderId="15" applyNumberFormat="0" applyBorder="0" applyAlignment="0" applyProtection="0"/>
    <xf numFmtId="0" fontId="33" fillId="24" borderId="15" applyNumberFormat="0" applyBorder="0" applyAlignment="0" applyProtection="0"/>
    <xf numFmtId="0" fontId="33" fillId="24" borderId="15" applyNumberFormat="0" applyBorder="0" applyAlignment="0" applyProtection="0"/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33" fillId="24" borderId="15" applyNumberFormat="0" applyBorder="0" applyAlignment="0" applyProtection="0"/>
    <xf numFmtId="0" fontId="41" fillId="8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33" fillId="24" borderId="15" applyNumberFormat="0" applyBorder="0" applyAlignment="0" applyProtection="0"/>
    <xf numFmtId="0" fontId="33" fillId="24" borderId="15" applyNumberFormat="0" applyBorder="0" applyAlignment="0" applyProtection="0"/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33" fillId="24" borderId="15" applyNumberFormat="0" applyBorder="0" applyAlignment="0" applyProtection="0"/>
    <xf numFmtId="0" fontId="41" fillId="8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33" fillId="24" borderId="15" applyNumberFormat="0" applyBorder="0" applyAlignment="0" applyProtection="0"/>
    <xf numFmtId="0" fontId="33" fillId="24" borderId="15" applyNumberFormat="0" applyBorder="0" applyAlignment="0" applyProtection="0"/>
    <xf numFmtId="0" fontId="50" fillId="14" borderId="5">
      <protection locked="0"/>
    </xf>
    <xf numFmtId="0" fontId="33" fillId="24" borderId="15" applyNumberFormat="0" applyBorder="0" applyAlignment="0" applyProtection="0"/>
    <xf numFmtId="0" fontId="33" fillId="24" borderId="15" applyNumberFormat="0" applyBorder="0" applyAlignment="0" applyProtection="0"/>
    <xf numFmtId="0" fontId="50" fillId="14" borderId="5">
      <protection locked="0"/>
    </xf>
    <xf numFmtId="0" fontId="33" fillId="24" borderId="15" applyNumberFormat="0" applyBorder="0" applyAlignment="0" applyProtection="0"/>
    <xf numFmtId="0" fontId="50" fillId="14" borderId="5">
      <protection locked="0"/>
    </xf>
    <xf numFmtId="0" fontId="33" fillId="24" borderId="15" applyNumberFormat="0" applyBorder="0" applyAlignment="0" applyProtection="0"/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33" fillId="24" borderId="15" applyNumberFormat="0" applyBorder="0" applyAlignment="0" applyProtection="0"/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33" fillId="24" borderId="15" applyNumberFormat="0" applyBorder="0" applyAlignment="0" applyProtection="0"/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33" fillId="24" borderId="15" applyNumberFormat="0" applyBorder="0" applyAlignment="0" applyProtection="0"/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33" fillId="24" borderId="15" applyNumberFormat="0" applyBorder="0" applyAlignment="0" applyProtection="0"/>
    <xf numFmtId="197" fontId="25" fillId="0" borderId="15">
      <alignment vertical="center"/>
      <protection locked="0"/>
    </xf>
    <xf numFmtId="0" fontId="33" fillId="24" borderId="15" applyNumberFormat="0" applyBorder="0" applyAlignment="0" applyProtection="0"/>
    <xf numFmtId="0" fontId="55" fillId="5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5" fillId="20" borderId="71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5" fillId="20" borderId="71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5" fillId="20" borderId="71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5" fillId="20" borderId="71" applyNumberFormat="0" applyAlignment="0" applyProtection="0">
      <alignment vertical="center"/>
    </xf>
    <xf numFmtId="0" fontId="65" fillId="20" borderId="71" applyNumberFormat="0" applyAlignment="0" applyProtection="0">
      <alignment vertical="center"/>
    </xf>
    <xf numFmtId="0" fontId="65" fillId="20" borderId="71" applyNumberFormat="0" applyAlignment="0" applyProtection="0">
      <alignment vertical="center"/>
    </xf>
    <xf numFmtId="194" fontId="82" fillId="33" borderId="0"/>
    <xf numFmtId="9" fontId="104" fillId="0" borderId="0" applyFont="0" applyFill="0" applyBorder="0" applyAlignment="0" applyProtection="0"/>
    <xf numFmtId="0" fontId="42" fillId="0" borderId="68" applyNumberFormat="0" applyFill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194" fontId="83" fillId="34" borderId="0"/>
    <xf numFmtId="38" fontId="104" fillId="0" borderId="0" applyFont="0" applyFill="0" applyBorder="0" applyAlignment="0" applyProtection="0"/>
    <xf numFmtId="0" fontId="104" fillId="0" borderId="0">
      <alignment vertical="center"/>
    </xf>
    <xf numFmtId="0" fontId="37" fillId="5" borderId="0" applyNumberFormat="0" applyBorder="0" applyAlignment="0" applyProtection="0">
      <alignment vertical="center"/>
    </xf>
    <xf numFmtId="0" fontId="45" fillId="0" borderId="7" applyNumberFormat="0" applyFill="0" applyProtection="0">
      <alignment horizontal="center"/>
    </xf>
    <xf numFmtId="0" fontId="45" fillId="0" borderId="7" applyNumberFormat="0" applyFill="0" applyProtection="0">
      <alignment horizontal="center"/>
    </xf>
    <xf numFmtId="40" fontId="104" fillId="0" borderId="0" applyFont="0" applyFill="0" applyBorder="0" applyAlignment="0" applyProtection="0"/>
    <xf numFmtId="196" fontId="104" fillId="0" borderId="0" applyFont="0" applyFill="0" applyBorder="0" applyAlignment="0" applyProtection="0"/>
    <xf numFmtId="0" fontId="104" fillId="0" borderId="0" applyFont="0" applyFill="0" applyBorder="0" applyAlignment="0" applyProtection="0"/>
    <xf numFmtId="199" fontId="104" fillId="0" borderId="0" applyFont="0" applyFill="0" applyBorder="0" applyAlignment="0" applyProtection="0"/>
    <xf numFmtId="178" fontId="104" fillId="0" borderId="0" applyFont="0" applyFill="0" applyBorder="0" applyAlignment="0" applyProtection="0"/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16" fillId="0" borderId="76" applyProtection="0"/>
    <xf numFmtId="0" fontId="31" fillId="0" borderId="0"/>
    <xf numFmtId="0" fontId="41" fillId="8" borderId="0" applyNumberFormat="0" applyBorder="0" applyAlignment="0" applyProtection="0">
      <alignment vertical="center"/>
    </xf>
    <xf numFmtId="37" fontId="64" fillId="0" borderId="0"/>
    <xf numFmtId="0" fontId="41" fillId="8" borderId="0" applyNumberFormat="0" applyBorder="0" applyAlignment="0" applyProtection="0">
      <alignment vertical="center"/>
    </xf>
    <xf numFmtId="37" fontId="64" fillId="0" borderId="0"/>
    <xf numFmtId="0" fontId="41" fillId="8" borderId="0" applyNumberFormat="0" applyBorder="0" applyAlignment="0" applyProtection="0">
      <alignment vertical="center"/>
    </xf>
    <xf numFmtId="37" fontId="64" fillId="0" borderId="0"/>
    <xf numFmtId="0" fontId="41" fillId="8" borderId="0" applyNumberFormat="0" applyBorder="0" applyAlignment="0" applyProtection="0">
      <alignment vertical="center"/>
    </xf>
    <xf numFmtId="37" fontId="64" fillId="0" borderId="0"/>
    <xf numFmtId="0" fontId="41" fillId="8" borderId="0" applyNumberFormat="0" applyBorder="0" applyAlignment="0" applyProtection="0">
      <alignment vertical="center"/>
    </xf>
    <xf numFmtId="37" fontId="64" fillId="0" borderId="0"/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37" fontId="64" fillId="0" borderId="0"/>
    <xf numFmtId="37" fontId="64" fillId="0" borderId="0"/>
    <xf numFmtId="0" fontId="41" fillId="8" borderId="0" applyNumberFormat="0" applyBorder="0" applyAlignment="0" applyProtection="0">
      <alignment vertical="center"/>
    </xf>
    <xf numFmtId="37" fontId="64" fillId="0" borderId="0"/>
    <xf numFmtId="37" fontId="64" fillId="0" borderId="0"/>
    <xf numFmtId="0" fontId="41" fillId="8" borderId="0" applyNumberFormat="0" applyBorder="0" applyAlignment="0" applyProtection="0">
      <alignment vertical="center"/>
    </xf>
    <xf numFmtId="37" fontId="64" fillId="0" borderId="0"/>
    <xf numFmtId="37" fontId="64" fillId="0" borderId="0"/>
    <xf numFmtId="0" fontId="41" fillId="8" borderId="0" applyNumberFormat="0" applyBorder="0" applyAlignment="0" applyProtection="0">
      <alignment vertical="center"/>
    </xf>
    <xf numFmtId="37" fontId="64" fillId="0" borderId="0"/>
    <xf numFmtId="37" fontId="64" fillId="0" borderId="0"/>
    <xf numFmtId="37" fontId="64" fillId="0" borderId="0"/>
    <xf numFmtId="0" fontId="41" fillId="8" borderId="0" applyNumberFormat="0" applyBorder="0" applyAlignment="0" applyProtection="0">
      <alignment vertical="center"/>
    </xf>
    <xf numFmtId="0" fontId="104" fillId="0" borderId="0"/>
    <xf numFmtId="37" fontId="64" fillId="0" borderId="0"/>
    <xf numFmtId="37" fontId="64" fillId="0" borderId="0"/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04" fillId="0" borderId="0"/>
    <xf numFmtId="37" fontId="64" fillId="0" borderId="0"/>
    <xf numFmtId="37" fontId="64" fillId="0" borderId="0"/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04" fillId="0" borderId="0"/>
    <xf numFmtId="37" fontId="64" fillId="0" borderId="0"/>
    <xf numFmtId="37" fontId="64" fillId="0" borderId="0"/>
    <xf numFmtId="0" fontId="41" fillId="8" borderId="0" applyNumberFormat="0" applyBorder="0" applyAlignment="0" applyProtection="0">
      <alignment vertical="center"/>
    </xf>
    <xf numFmtId="0" fontId="104" fillId="0" borderId="0"/>
    <xf numFmtId="9" fontId="104" fillId="0" borderId="0" applyFont="0" applyFill="0" applyBorder="0" applyAlignment="0" applyProtection="0"/>
    <xf numFmtId="37" fontId="64" fillId="0" borderId="0"/>
    <xf numFmtId="37" fontId="64" fillId="0" borderId="0"/>
    <xf numFmtId="0" fontId="41" fillId="8" borderId="0" applyNumberFormat="0" applyBorder="0" applyAlignment="0" applyProtection="0">
      <alignment vertical="center"/>
    </xf>
    <xf numFmtId="0" fontId="104" fillId="0" borderId="0"/>
    <xf numFmtId="37" fontId="64" fillId="0" borderId="0"/>
    <xf numFmtId="37" fontId="64" fillId="0" borderId="0"/>
    <xf numFmtId="37" fontId="64" fillId="0" borderId="0"/>
    <xf numFmtId="0" fontId="41" fillId="8" borderId="0" applyNumberFormat="0" applyBorder="0" applyAlignment="0" applyProtection="0">
      <alignment vertical="center"/>
    </xf>
    <xf numFmtId="0" fontId="104" fillId="0" borderId="0"/>
    <xf numFmtId="37" fontId="64" fillId="0" borderId="0"/>
    <xf numFmtId="37" fontId="64" fillId="0" borderId="0"/>
    <xf numFmtId="0" fontId="41" fillId="8" borderId="0" applyNumberFormat="0" applyBorder="0" applyAlignment="0" applyProtection="0">
      <alignment vertical="center"/>
    </xf>
    <xf numFmtId="0" fontId="104" fillId="0" borderId="0"/>
    <xf numFmtId="37" fontId="64" fillId="0" borderId="0"/>
    <xf numFmtId="37" fontId="64" fillId="0" borderId="0"/>
    <xf numFmtId="0" fontId="41" fillId="8" borderId="0" applyNumberFormat="0" applyBorder="0" applyAlignment="0" applyProtection="0">
      <alignment vertical="center"/>
    </xf>
    <xf numFmtId="37" fontId="64" fillId="0" borderId="0"/>
    <xf numFmtId="37" fontId="64" fillId="0" borderId="0"/>
    <xf numFmtId="0" fontId="41" fillId="8" borderId="0" applyNumberFormat="0" applyBorder="0" applyAlignment="0" applyProtection="0">
      <alignment vertical="center"/>
    </xf>
    <xf numFmtId="37" fontId="64" fillId="0" borderId="0"/>
    <xf numFmtId="37" fontId="64" fillId="0" borderId="0"/>
    <xf numFmtId="37" fontId="64" fillId="0" borderId="0"/>
    <xf numFmtId="37" fontId="64" fillId="0" borderId="0"/>
    <xf numFmtId="0" fontId="41" fillId="10" borderId="0" applyNumberFormat="0" applyBorder="0" applyAlignment="0" applyProtection="0">
      <alignment vertical="center"/>
    </xf>
    <xf numFmtId="37" fontId="64" fillId="0" borderId="0"/>
    <xf numFmtId="0" fontId="47" fillId="13" borderId="0" applyNumberFormat="0" applyBorder="0" applyAlignment="0" applyProtection="0">
      <alignment vertical="center"/>
    </xf>
    <xf numFmtId="37" fontId="64" fillId="0" borderId="0"/>
    <xf numFmtId="37" fontId="64" fillId="0" borderId="0"/>
    <xf numFmtId="37" fontId="64" fillId="0" borderId="0"/>
    <xf numFmtId="37" fontId="64" fillId="0" borderId="0"/>
    <xf numFmtId="37" fontId="64" fillId="0" borderId="0"/>
    <xf numFmtId="37" fontId="64" fillId="0" borderId="0"/>
    <xf numFmtId="37" fontId="64" fillId="0" borderId="0"/>
    <xf numFmtId="37" fontId="64" fillId="0" borderId="0"/>
    <xf numFmtId="0" fontId="41" fillId="10" borderId="0" applyNumberFormat="0" applyBorder="0" applyAlignment="0" applyProtection="0">
      <alignment vertical="center"/>
    </xf>
    <xf numFmtId="37" fontId="64" fillId="0" borderId="0"/>
    <xf numFmtId="0" fontId="41" fillId="10" borderId="0" applyNumberFormat="0" applyBorder="0" applyAlignment="0" applyProtection="0">
      <alignment vertical="center"/>
    </xf>
    <xf numFmtId="37" fontId="64" fillId="0" borderId="0"/>
    <xf numFmtId="0" fontId="41" fillId="10" borderId="0" applyNumberFormat="0" applyBorder="0" applyAlignment="0" applyProtection="0">
      <alignment vertical="center"/>
    </xf>
    <xf numFmtId="0" fontId="104" fillId="0" borderId="0">
      <alignment vertical="center"/>
    </xf>
    <xf numFmtId="37" fontId="64" fillId="0" borderId="0"/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04" fillId="0" borderId="0">
      <alignment vertical="center"/>
    </xf>
    <xf numFmtId="37" fontId="64" fillId="0" borderId="0"/>
    <xf numFmtId="0" fontId="41" fillId="10" borderId="0" applyNumberFormat="0" applyBorder="0" applyAlignment="0" applyProtection="0">
      <alignment vertical="center"/>
    </xf>
    <xf numFmtId="0" fontId="104" fillId="0" borderId="0">
      <alignment vertical="center"/>
    </xf>
    <xf numFmtId="37" fontId="64" fillId="0" borderId="0"/>
    <xf numFmtId="0" fontId="82" fillId="0" borderId="0"/>
    <xf numFmtId="0" fontId="74" fillId="8" borderId="0" applyNumberFormat="0" applyBorder="0" applyAlignment="0" applyProtection="0">
      <alignment vertical="center"/>
    </xf>
    <xf numFmtId="0" fontId="60" fillId="0" borderId="0"/>
    <xf numFmtId="0" fontId="37" fillId="5" borderId="0" applyNumberFormat="0" applyBorder="0" applyAlignment="0" applyProtection="0">
      <alignment vertical="center"/>
    </xf>
    <xf numFmtId="0" fontId="104" fillId="24" borderId="75" applyNumberFormat="0" applyFont="0" applyAlignment="0" applyProtection="0">
      <alignment vertical="center"/>
    </xf>
    <xf numFmtId="13" fontId="104" fillId="0" borderId="0" applyFont="0" applyFill="0" applyProtection="0"/>
    <xf numFmtId="0" fontId="104" fillId="0" borderId="0"/>
    <xf numFmtId="0" fontId="104" fillId="24" borderId="75" applyNumberFormat="0" applyFont="0" applyAlignment="0" applyProtection="0">
      <alignment vertical="center"/>
    </xf>
    <xf numFmtId="0" fontId="104" fillId="0" borderId="0"/>
    <xf numFmtId="0" fontId="104" fillId="24" borderId="75" applyNumberFormat="0" applyFont="0" applyAlignment="0" applyProtection="0">
      <alignment vertical="center"/>
    </xf>
    <xf numFmtId="0" fontId="104" fillId="0" borderId="0"/>
    <xf numFmtId="0" fontId="104" fillId="24" borderId="75" applyNumberFormat="0" applyFont="0" applyAlignment="0" applyProtection="0">
      <alignment vertical="center"/>
    </xf>
    <xf numFmtId="0" fontId="104" fillId="0" borderId="0"/>
    <xf numFmtId="0" fontId="104" fillId="24" borderId="75" applyNumberFormat="0" applyFont="0" applyAlignment="0" applyProtection="0">
      <alignment vertical="center"/>
    </xf>
    <xf numFmtId="0" fontId="104" fillId="0" borderId="0"/>
    <xf numFmtId="0" fontId="104" fillId="24" borderId="75" applyNumberFormat="0" applyFont="0" applyAlignment="0" applyProtection="0">
      <alignment vertical="center"/>
    </xf>
    <xf numFmtId="0" fontId="104" fillId="24" borderId="75" applyNumberFormat="0" applyFont="0" applyAlignment="0" applyProtection="0">
      <alignment vertical="center"/>
    </xf>
    <xf numFmtId="0" fontId="104" fillId="24" borderId="75" applyNumberFormat="0" applyFont="0" applyAlignment="0" applyProtection="0">
      <alignment vertical="center"/>
    </xf>
    <xf numFmtId="0" fontId="104" fillId="24" borderId="75" applyNumberFormat="0" applyFont="0" applyAlignment="0" applyProtection="0">
      <alignment vertical="center"/>
    </xf>
    <xf numFmtId="0" fontId="104" fillId="0" borderId="0">
      <alignment vertical="center"/>
    </xf>
    <xf numFmtId="0" fontId="54" fillId="16" borderId="70" applyNumberFormat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54" fillId="16" borderId="70" applyNumberFormat="0" applyAlignment="0" applyProtection="0">
      <alignment vertical="center"/>
    </xf>
    <xf numFmtId="0" fontId="54" fillId="16" borderId="70" applyNumberFormat="0" applyAlignment="0" applyProtection="0">
      <alignment vertical="center"/>
    </xf>
    <xf numFmtId="0" fontId="54" fillId="16" borderId="70" applyNumberFormat="0" applyAlignment="0" applyProtection="0">
      <alignment vertical="center"/>
    </xf>
    <xf numFmtId="0" fontId="54" fillId="16" borderId="70" applyNumberFormat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54" fillId="16" borderId="70" applyNumberFormat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54" fillId="16" borderId="70" applyNumberFormat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0" fillId="5" borderId="0" applyNumberFormat="0" applyBorder="0" applyAlignment="0" applyProtection="0"/>
    <xf numFmtId="0" fontId="54" fillId="16" borderId="70" applyNumberFormat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54" fillId="16" borderId="70" applyNumberFormat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10" fontId="104" fillId="0" borderId="0" applyFont="0" applyFill="0" applyBorder="0" applyAlignment="0" applyProtection="0"/>
    <xf numFmtId="9" fontId="104" fillId="0" borderId="0" applyFont="0" applyFill="0" applyBorder="0" applyAlignment="0" applyProtection="0"/>
    <xf numFmtId="1" fontId="2" fillId="0" borderId="2" applyFill="0" applyProtection="0">
      <alignment horizontal="center"/>
    </xf>
    <xf numFmtId="0" fontId="104" fillId="0" borderId="0" applyNumberFormat="0" applyFont="0" applyFill="0" applyBorder="0" applyAlignment="0" applyProtection="0">
      <alignment horizontal="left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0" fillId="14" borderId="5">
      <protection locked="0"/>
    </xf>
    <xf numFmtId="15" fontId="104" fillId="0" borderId="0" applyFont="0" applyFill="0" applyBorder="0" applyAlignment="0" applyProtection="0"/>
    <xf numFmtId="0" fontId="77" fillId="0" borderId="1">
      <alignment horizontal="center"/>
    </xf>
    <xf numFmtId="0" fontId="51" fillId="10" borderId="0" applyNumberFormat="0" applyBorder="0" applyAlignment="0" applyProtection="0">
      <alignment vertical="center"/>
    </xf>
    <xf numFmtId="0" fontId="77" fillId="0" borderId="1">
      <alignment horizontal="center"/>
    </xf>
    <xf numFmtId="0" fontId="77" fillId="0" borderId="1">
      <alignment horizontal="center"/>
    </xf>
    <xf numFmtId="0" fontId="63" fillId="0" borderId="0" applyNumberForma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77" fillId="0" borderId="1">
      <alignment horizontal="center"/>
    </xf>
    <xf numFmtId="0" fontId="77" fillId="0" borderId="1">
      <alignment horizontal="center"/>
    </xf>
    <xf numFmtId="0" fontId="77" fillId="0" borderId="1">
      <alignment horizontal="center"/>
    </xf>
    <xf numFmtId="0" fontId="77" fillId="0" borderId="1">
      <alignment horizontal="center"/>
    </xf>
    <xf numFmtId="0" fontId="77" fillId="0" borderId="1">
      <alignment horizontal="center"/>
    </xf>
    <xf numFmtId="0" fontId="77" fillId="0" borderId="1">
      <alignment horizontal="center"/>
    </xf>
    <xf numFmtId="0" fontId="41" fillId="8" borderId="0" applyNumberFormat="0" applyBorder="0" applyAlignment="0" applyProtection="0">
      <alignment vertical="center"/>
    </xf>
    <xf numFmtId="0" fontId="77" fillId="0" borderId="1">
      <alignment horizontal="center"/>
    </xf>
    <xf numFmtId="0" fontId="77" fillId="0" borderId="1">
      <alignment horizontal="center"/>
    </xf>
    <xf numFmtId="0" fontId="41" fillId="8" borderId="0" applyNumberFormat="0" applyBorder="0" applyAlignment="0" applyProtection="0">
      <alignment vertical="center"/>
    </xf>
    <xf numFmtId="0" fontId="77" fillId="0" borderId="1">
      <alignment horizontal="center"/>
    </xf>
    <xf numFmtId="0" fontId="77" fillId="0" borderId="1">
      <alignment horizontal="center"/>
    </xf>
    <xf numFmtId="0" fontId="41" fillId="8" borderId="0" applyNumberFormat="0" applyBorder="0" applyAlignment="0" applyProtection="0">
      <alignment vertical="center"/>
    </xf>
    <xf numFmtId="0" fontId="77" fillId="0" borderId="1">
      <alignment horizontal="center"/>
    </xf>
    <xf numFmtId="0" fontId="41" fillId="8" borderId="0" applyNumberFormat="0" applyBorder="0" applyAlignment="0" applyProtection="0">
      <alignment vertical="center"/>
    </xf>
    <xf numFmtId="0" fontId="77" fillId="0" borderId="1">
      <alignment horizontal="center"/>
    </xf>
    <xf numFmtId="0" fontId="77" fillId="0" borderId="1">
      <alignment horizontal="center"/>
    </xf>
    <xf numFmtId="0" fontId="41" fillId="8" borderId="0" applyNumberFormat="0" applyBorder="0" applyAlignment="0" applyProtection="0">
      <alignment vertical="center"/>
    </xf>
    <xf numFmtId="0" fontId="77" fillId="0" borderId="1">
      <alignment horizontal="center"/>
    </xf>
    <xf numFmtId="0" fontId="77" fillId="0" borderId="1">
      <alignment horizontal="center"/>
    </xf>
    <xf numFmtId="0" fontId="41" fillId="8" borderId="0" applyNumberFormat="0" applyBorder="0" applyAlignment="0" applyProtection="0">
      <alignment vertical="center"/>
    </xf>
    <xf numFmtId="0" fontId="77" fillId="0" borderId="1">
      <alignment horizontal="center"/>
    </xf>
    <xf numFmtId="0" fontId="77" fillId="0" borderId="1">
      <alignment horizontal="center"/>
    </xf>
    <xf numFmtId="0" fontId="37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77" fillId="0" borderId="1">
      <alignment horizontal="center"/>
    </xf>
    <xf numFmtId="0" fontId="77" fillId="0" borderId="1">
      <alignment horizontal="center"/>
    </xf>
    <xf numFmtId="0" fontId="37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77" fillId="0" borderId="1">
      <alignment horizontal="center"/>
    </xf>
    <xf numFmtId="0" fontId="77" fillId="0" borderId="1">
      <alignment horizontal="center"/>
    </xf>
    <xf numFmtId="0" fontId="37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77" fillId="0" borderId="1">
      <alignment horizontal="center"/>
    </xf>
    <xf numFmtId="0" fontId="37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77" fillId="0" borderId="1">
      <alignment horizontal="center"/>
    </xf>
    <xf numFmtId="0" fontId="77" fillId="0" borderId="1">
      <alignment horizontal="center"/>
    </xf>
    <xf numFmtId="0" fontId="37" fillId="5" borderId="0" applyNumberFormat="0" applyBorder="0" applyAlignment="0" applyProtection="0">
      <alignment vertical="center"/>
    </xf>
    <xf numFmtId="0" fontId="77" fillId="0" borderId="1">
      <alignment horizontal="center"/>
    </xf>
    <xf numFmtId="0" fontId="77" fillId="0" borderId="1">
      <alignment horizontal="center"/>
    </xf>
    <xf numFmtId="0" fontId="37" fillId="5" borderId="0" applyNumberFormat="0" applyBorder="0" applyAlignment="0" applyProtection="0">
      <alignment vertical="center"/>
    </xf>
    <xf numFmtId="0" fontId="77" fillId="0" borderId="1">
      <alignment horizontal="center"/>
    </xf>
    <xf numFmtId="0" fontId="77" fillId="0" borderId="1">
      <alignment horizontal="center"/>
    </xf>
    <xf numFmtId="0" fontId="37" fillId="5" borderId="0" applyNumberFormat="0" applyBorder="0" applyAlignment="0" applyProtection="0">
      <alignment vertical="center"/>
    </xf>
    <xf numFmtId="0" fontId="77" fillId="0" borderId="1">
      <alignment horizontal="center"/>
    </xf>
    <xf numFmtId="0" fontId="37" fillId="5" borderId="0" applyNumberFormat="0" applyBorder="0" applyAlignment="0" applyProtection="0">
      <alignment vertical="center"/>
    </xf>
    <xf numFmtId="0" fontId="77" fillId="0" borderId="1">
      <alignment horizontal="center"/>
    </xf>
    <xf numFmtId="0" fontId="41" fillId="8" borderId="0" applyNumberFormat="0" applyBorder="0" applyAlignment="0" applyProtection="0">
      <alignment vertical="center"/>
    </xf>
    <xf numFmtId="0" fontId="77" fillId="0" borderId="1">
      <alignment horizontal="center"/>
    </xf>
    <xf numFmtId="0" fontId="41" fillId="8" borderId="0" applyNumberFormat="0" applyBorder="0" applyAlignment="0" applyProtection="0">
      <alignment vertical="center"/>
    </xf>
    <xf numFmtId="0" fontId="77" fillId="0" borderId="1">
      <alignment horizontal="center"/>
    </xf>
    <xf numFmtId="0" fontId="41" fillId="8" borderId="0" applyNumberFormat="0" applyBorder="0" applyAlignment="0" applyProtection="0">
      <alignment vertical="center"/>
    </xf>
    <xf numFmtId="0" fontId="77" fillId="0" borderId="1">
      <alignment horizontal="center"/>
    </xf>
    <xf numFmtId="0" fontId="68" fillId="8" borderId="0" applyNumberFormat="0" applyBorder="0" applyAlignment="0" applyProtection="0">
      <alignment vertical="center"/>
    </xf>
    <xf numFmtId="3" fontId="104" fillId="0" borderId="0" applyFont="0" applyFill="0" applyBorder="0" applyAlignment="0" applyProtection="0"/>
    <xf numFmtId="0" fontId="69" fillId="5" borderId="0" applyNumberFormat="0" applyBorder="0" applyAlignment="0" applyProtection="0">
      <alignment vertical="center"/>
    </xf>
    <xf numFmtId="0" fontId="61" fillId="0" borderId="72" applyNumberFormat="0" applyFill="0" applyAlignment="0" applyProtection="0">
      <alignment vertical="center"/>
    </xf>
    <xf numFmtId="0" fontId="84" fillId="0" borderId="0" applyNumberFormat="0" applyFill="0" applyBorder="0" applyAlignment="0" applyProtection="0"/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4" fillId="16" borderId="70" applyNumberFormat="0" applyAlignment="0" applyProtection="0">
      <alignment vertical="center"/>
    </xf>
    <xf numFmtId="0" fontId="50" fillId="14" borderId="5">
      <protection locked="0"/>
    </xf>
    <xf numFmtId="0" fontId="50" fillId="14" borderId="5">
      <protection locked="0"/>
    </xf>
    <xf numFmtId="0" fontId="54" fillId="16" borderId="70" applyNumberFormat="0" applyAlignment="0" applyProtection="0">
      <alignment vertical="center"/>
    </xf>
    <xf numFmtId="0" fontId="50" fillId="14" borderId="5">
      <protection locked="0"/>
    </xf>
    <xf numFmtId="0" fontId="50" fillId="14" borderId="5">
      <protection locked="0"/>
    </xf>
    <xf numFmtId="0" fontId="54" fillId="16" borderId="70" applyNumberFormat="0" applyAlignment="0" applyProtection="0">
      <alignment vertical="center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49" fillId="0" borderId="2" applyNumberFormat="0" applyFill="0" applyProtection="0">
      <alignment horizontal="center"/>
    </xf>
    <xf numFmtId="0" fontId="49" fillId="0" borderId="2" applyNumberFormat="0" applyFill="0" applyProtection="0">
      <alignment horizontal="center"/>
    </xf>
    <xf numFmtId="0" fontId="50" fillId="14" borderId="5">
      <protection locked="0"/>
    </xf>
    <xf numFmtId="0" fontId="50" fillId="14" borderId="5">
      <protection locked="0"/>
    </xf>
    <xf numFmtId="0" fontId="85" fillId="0" borderId="0"/>
    <xf numFmtId="0" fontId="74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0" fillId="14" borderId="5">
      <protection locked="0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0" fillId="14" borderId="5">
      <protection locked="0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0" fillId="14" borderId="5">
      <protection locked="0"/>
    </xf>
    <xf numFmtId="0" fontId="44" fillId="18" borderId="0" applyNumberFormat="0" applyBorder="0" applyAlignment="0" applyProtection="0">
      <alignment vertical="center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49" fillId="0" borderId="2" applyNumberFormat="0" applyFill="0" applyProtection="0">
      <alignment horizontal="center"/>
    </xf>
    <xf numFmtId="0" fontId="37" fillId="5" borderId="0" applyNumberFormat="0" applyBorder="0" applyAlignment="0" applyProtection="0">
      <alignment vertical="center"/>
    </xf>
    <xf numFmtId="0" fontId="50" fillId="14" borderId="5">
      <protection locked="0"/>
    </xf>
    <xf numFmtId="0" fontId="50" fillId="14" borderId="5">
      <protection locked="0"/>
    </xf>
    <xf numFmtId="197" fontId="25" fillId="0" borderId="15">
      <alignment vertical="center"/>
      <protection locked="0"/>
    </xf>
    <xf numFmtId="0" fontId="49" fillId="0" borderId="2" applyNumberFormat="0" applyFill="0" applyProtection="0">
      <alignment horizontal="center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197" fontId="25" fillId="0" borderId="15">
      <alignment vertical="center"/>
      <protection locked="0"/>
    </xf>
    <xf numFmtId="0" fontId="49" fillId="0" borderId="2" applyNumberFormat="0" applyFill="0" applyProtection="0">
      <alignment horizontal="center"/>
    </xf>
    <xf numFmtId="0" fontId="50" fillId="14" borderId="5">
      <protection locked="0"/>
    </xf>
    <xf numFmtId="0" fontId="50" fillId="14" borderId="5">
      <protection locked="0"/>
    </xf>
    <xf numFmtId="197" fontId="25" fillId="0" borderId="15">
      <alignment vertical="center"/>
      <protection locked="0"/>
    </xf>
    <xf numFmtId="0" fontId="49" fillId="0" borderId="2" applyNumberFormat="0" applyFill="0" applyProtection="0">
      <alignment horizontal="center"/>
    </xf>
    <xf numFmtId="0" fontId="50" fillId="14" borderId="5">
      <protection locked="0"/>
    </xf>
    <xf numFmtId="0" fontId="50" fillId="14" borderId="5">
      <protection locked="0"/>
    </xf>
    <xf numFmtId="197" fontId="25" fillId="0" borderId="15">
      <alignment vertical="center"/>
      <protection locked="0"/>
    </xf>
    <xf numFmtId="0" fontId="49" fillId="0" borderId="2" applyNumberFormat="0" applyFill="0" applyProtection="0">
      <alignment horizontal="center"/>
    </xf>
    <xf numFmtId="0" fontId="49" fillId="0" borderId="2" applyNumberFormat="0" applyFill="0" applyProtection="0">
      <alignment horizontal="center"/>
    </xf>
    <xf numFmtId="0" fontId="50" fillId="14" borderId="5">
      <protection locked="0"/>
    </xf>
    <xf numFmtId="0" fontId="50" fillId="14" borderId="5">
      <protection locked="0"/>
    </xf>
    <xf numFmtId="197" fontId="25" fillId="0" borderId="15">
      <alignment vertical="center"/>
      <protection locked="0"/>
    </xf>
    <xf numFmtId="0" fontId="49" fillId="0" borderId="2" applyNumberFormat="0" applyFill="0" applyProtection="0">
      <alignment horizontal="center"/>
    </xf>
    <xf numFmtId="0" fontId="49" fillId="0" borderId="2" applyNumberFormat="0" applyFill="0" applyProtection="0">
      <alignment horizontal="center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49" fillId="0" borderId="2" applyNumberFormat="0" applyFill="0" applyProtection="0">
      <alignment horizontal="center"/>
    </xf>
    <xf numFmtId="0" fontId="49" fillId="0" borderId="2" applyNumberFormat="0" applyFill="0" applyProtection="0">
      <alignment horizontal="center"/>
    </xf>
    <xf numFmtId="0" fontId="50" fillId="14" borderId="5">
      <protection locked="0"/>
    </xf>
    <xf numFmtId="0" fontId="50" fillId="14" borderId="5"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49" fillId="0" borderId="2" applyNumberFormat="0" applyFill="0" applyProtection="0">
      <alignment horizontal="center"/>
    </xf>
    <xf numFmtId="0" fontId="49" fillId="0" borderId="2" applyNumberFormat="0" applyFill="0" applyProtection="0">
      <alignment horizontal="center"/>
    </xf>
    <xf numFmtId="0" fontId="50" fillId="14" borderId="5">
      <protection locked="0"/>
    </xf>
    <xf numFmtId="0" fontId="50" fillId="14" borderId="5">
      <protection locked="0"/>
    </xf>
    <xf numFmtId="1" fontId="2" fillId="0" borderId="2" applyFill="0" applyProtection="0">
      <alignment horizontal="center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49" fillId="0" borderId="2" applyNumberFormat="0" applyFill="0" applyProtection="0">
      <alignment horizontal="center"/>
    </xf>
    <xf numFmtId="0" fontId="49" fillId="0" borderId="2" applyNumberFormat="0" applyFill="0" applyProtection="0">
      <alignment horizontal="center"/>
    </xf>
    <xf numFmtId="0" fontId="50" fillId="14" borderId="5">
      <protection locked="0"/>
    </xf>
    <xf numFmtId="0" fontId="50" fillId="14" borderId="5"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49" fillId="0" borderId="2" applyNumberFormat="0" applyFill="0" applyProtection="0">
      <alignment horizontal="center"/>
    </xf>
    <xf numFmtId="0" fontId="49" fillId="0" borderId="2" applyNumberFormat="0" applyFill="0" applyProtection="0">
      <alignment horizontal="center"/>
    </xf>
    <xf numFmtId="0" fontId="50" fillId="14" borderId="5"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49" fillId="0" borderId="2" applyNumberFormat="0" applyFill="0" applyProtection="0">
      <alignment horizontal="center"/>
    </xf>
    <xf numFmtId="0" fontId="49" fillId="0" borderId="2" applyNumberFormat="0" applyFill="0" applyProtection="0">
      <alignment horizontal="center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104" fillId="0" borderId="0"/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76" fillId="0" borderId="77" applyNumberFormat="0" applyFill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0" fillId="14" borderId="5">
      <protection locked="0"/>
    </xf>
    <xf numFmtId="0" fontId="76" fillId="0" borderId="77" applyNumberFormat="0" applyFill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0" fillId="14" borderId="5">
      <protection locked="0"/>
    </xf>
    <xf numFmtId="0" fontId="50" fillId="14" borderId="5">
      <protection locked="0"/>
    </xf>
    <xf numFmtId="0" fontId="50" fillId="14" borderId="5">
      <protection locked="0"/>
    </xf>
    <xf numFmtId="0" fontId="104" fillId="0" borderId="0"/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6" fillId="0" borderId="77" applyNumberFormat="0" applyFill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04" fillId="0" borderId="0">
      <alignment vertical="center"/>
    </xf>
    <xf numFmtId="0" fontId="16" fillId="0" borderId="76" applyProtection="0"/>
    <xf numFmtId="0" fontId="16" fillId="0" borderId="76" applyProtection="0"/>
    <xf numFmtId="0" fontId="16" fillId="0" borderId="76" applyProtection="0"/>
    <xf numFmtId="0" fontId="16" fillId="0" borderId="76" applyProtection="0"/>
    <xf numFmtId="0" fontId="16" fillId="0" borderId="76" applyProtection="0"/>
    <xf numFmtId="0" fontId="16" fillId="0" borderId="76" applyProtection="0"/>
    <xf numFmtId="0" fontId="16" fillId="0" borderId="76" applyProtection="0"/>
    <xf numFmtId="0" fontId="16" fillId="0" borderId="76" applyProtection="0"/>
    <xf numFmtId="0" fontId="16" fillId="0" borderId="76" applyProtection="0"/>
    <xf numFmtId="0" fontId="16" fillId="0" borderId="76" applyProtection="0"/>
    <xf numFmtId="0" fontId="16" fillId="0" borderId="76" applyProtection="0"/>
    <xf numFmtId="0" fontId="16" fillId="0" borderId="76" applyProtection="0"/>
    <xf numFmtId="0" fontId="16" fillId="0" borderId="76" applyProtection="0"/>
    <xf numFmtId="0" fontId="16" fillId="0" borderId="76" applyProtection="0"/>
    <xf numFmtId="0" fontId="16" fillId="0" borderId="76" applyProtection="0"/>
    <xf numFmtId="0" fontId="86" fillId="0" borderId="0" applyNumberFormat="0" applyFill="0" applyBorder="0" applyAlignment="0" applyProtection="0"/>
    <xf numFmtId="0" fontId="16" fillId="0" borderId="76" applyProtection="0"/>
    <xf numFmtId="0" fontId="16" fillId="0" borderId="76" applyProtection="0"/>
    <xf numFmtId="0" fontId="16" fillId="0" borderId="76" applyProtection="0"/>
    <xf numFmtId="0" fontId="16" fillId="0" borderId="76" applyProtection="0"/>
    <xf numFmtId="0" fontId="16" fillId="0" borderId="76" applyProtection="0"/>
    <xf numFmtId="0" fontId="16" fillId="0" borderId="76" applyProtection="0"/>
    <xf numFmtId="0" fontId="16" fillId="0" borderId="76" applyProtection="0"/>
    <xf numFmtId="0" fontId="16" fillId="0" borderId="76" applyProtection="0"/>
    <xf numFmtId="0" fontId="16" fillId="0" borderId="76" applyProtection="0"/>
    <xf numFmtId="0" fontId="16" fillId="0" borderId="76" applyProtection="0"/>
    <xf numFmtId="0" fontId="16" fillId="0" borderId="76" applyProtection="0"/>
    <xf numFmtId="0" fontId="86" fillId="0" borderId="0" applyNumberFormat="0" applyFill="0" applyBorder="0" applyAlignment="0" applyProtection="0"/>
    <xf numFmtId="0" fontId="16" fillId="0" borderId="76" applyProtection="0"/>
    <xf numFmtId="0" fontId="16" fillId="0" borderId="76" applyProtection="0"/>
    <xf numFmtId="0" fontId="16" fillId="0" borderId="76" applyProtection="0"/>
    <xf numFmtId="0" fontId="16" fillId="0" borderId="76" applyProtection="0"/>
    <xf numFmtId="0" fontId="16" fillId="0" borderId="76" applyProtection="0"/>
    <xf numFmtId="0" fontId="16" fillId="0" borderId="76" applyProtection="0"/>
    <xf numFmtId="0" fontId="16" fillId="0" borderId="76" applyProtection="0"/>
    <xf numFmtId="0" fontId="16" fillId="0" borderId="76" applyProtection="0"/>
    <xf numFmtId="0" fontId="16" fillId="0" borderId="76" applyProtection="0"/>
    <xf numFmtId="0" fontId="16" fillId="0" borderId="76" applyProtection="0"/>
    <xf numFmtId="0" fontId="16" fillId="0" borderId="76" applyProtection="0"/>
    <xf numFmtId="0" fontId="51" fillId="8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/>
    <xf numFmtId="0" fontId="16" fillId="0" borderId="76" applyProtection="0"/>
    <xf numFmtId="0" fontId="41" fillId="8" borderId="0" applyNumberFormat="0" applyBorder="0" applyAlignment="0" applyProtection="0">
      <alignment vertical="center"/>
    </xf>
    <xf numFmtId="0" fontId="16" fillId="0" borderId="76" applyProtection="0"/>
    <xf numFmtId="0" fontId="16" fillId="0" borderId="76" applyProtection="0"/>
    <xf numFmtId="0" fontId="16" fillId="0" borderId="76" applyProtection="0"/>
    <xf numFmtId="0" fontId="16" fillId="0" borderId="76" applyProtection="0"/>
    <xf numFmtId="0" fontId="51" fillId="8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/>
    <xf numFmtId="0" fontId="16" fillId="0" borderId="76" applyProtection="0"/>
    <xf numFmtId="0" fontId="51" fillId="8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/>
    <xf numFmtId="0" fontId="16" fillId="0" borderId="76" applyProtection="0"/>
    <xf numFmtId="0" fontId="51" fillId="8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/>
    <xf numFmtId="0" fontId="16" fillId="0" borderId="76" applyProtection="0"/>
    <xf numFmtId="0" fontId="51" fillId="8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/>
    <xf numFmtId="0" fontId="16" fillId="0" borderId="76" applyProtection="0"/>
    <xf numFmtId="0" fontId="51" fillId="8" borderId="0" applyNumberFormat="0" applyBorder="0" applyAlignment="0" applyProtection="0">
      <alignment vertical="center"/>
    </xf>
    <xf numFmtId="0" fontId="16" fillId="0" borderId="76" applyProtection="0"/>
    <xf numFmtId="0" fontId="71" fillId="0" borderId="0" applyNumberFormat="0" applyFill="0" applyBorder="0" applyAlignment="0" applyProtection="0">
      <alignment vertical="center"/>
    </xf>
    <xf numFmtId="0" fontId="54" fillId="16" borderId="70" applyNumberFormat="0" applyAlignment="0" applyProtection="0">
      <alignment vertical="center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49" fillId="0" borderId="2" applyNumberFormat="0" applyFill="0" applyProtection="0">
      <alignment horizontal="center"/>
    </xf>
    <xf numFmtId="0" fontId="49" fillId="0" borderId="2" applyNumberFormat="0" applyFill="0" applyProtection="0">
      <alignment horizontal="center"/>
    </xf>
    <xf numFmtId="0" fontId="71" fillId="0" borderId="0" applyNumberFormat="0" applyFill="0" applyBorder="0" applyAlignment="0" applyProtection="0">
      <alignment vertical="center"/>
    </xf>
    <xf numFmtId="0" fontId="54" fillId="16" borderId="70" applyNumberFormat="0" applyAlignment="0" applyProtection="0">
      <alignment vertical="center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49" fillId="0" borderId="2" applyNumberFormat="0" applyFill="0" applyProtection="0">
      <alignment horizontal="center"/>
    </xf>
    <xf numFmtId="0" fontId="49" fillId="0" borderId="2" applyNumberFormat="0" applyFill="0" applyProtection="0">
      <alignment horizontal="center"/>
    </xf>
    <xf numFmtId="0" fontId="71" fillId="0" borderId="0" applyNumberFormat="0" applyFill="0" applyBorder="0" applyAlignment="0" applyProtection="0">
      <alignment vertical="center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49" fillId="0" borderId="2" applyNumberFormat="0" applyFill="0" applyProtection="0">
      <alignment horizontal="center"/>
    </xf>
    <xf numFmtId="0" fontId="49" fillId="0" borderId="2" applyNumberFormat="0" applyFill="0" applyProtection="0">
      <alignment horizont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49" fillId="0" borderId="2" applyNumberFormat="0" applyFill="0" applyProtection="0">
      <alignment horizontal="center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49" fillId="0" borderId="2" applyNumberFormat="0" applyFill="0" applyProtection="0">
      <alignment horizontal="center"/>
    </xf>
    <xf numFmtId="0" fontId="8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197" fontId="25" fillId="0" borderId="15">
      <alignment vertical="center"/>
      <protection locked="0"/>
    </xf>
    <xf numFmtId="0" fontId="63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197" fontId="25" fillId="0" borderId="15">
      <alignment vertical="center"/>
      <protection locked="0"/>
    </xf>
    <xf numFmtId="0" fontId="63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104" fillId="0" borderId="0" applyFont="0" applyFill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0" fontId="104" fillId="0" borderId="0">
      <alignment vertical="center"/>
    </xf>
    <xf numFmtId="9" fontId="104" fillId="0" borderId="0" applyFont="0" applyFill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0" fontId="104" fillId="0" borderId="0"/>
    <xf numFmtId="9" fontId="104" fillId="0" borderId="0" applyFont="0" applyFill="0" applyBorder="0" applyAlignment="0" applyProtection="0">
      <alignment vertical="center"/>
    </xf>
    <xf numFmtId="0" fontId="104" fillId="0" borderId="0"/>
    <xf numFmtId="9" fontId="104" fillId="0" borderId="0" applyFont="0" applyFill="0" applyBorder="0" applyAlignment="0" applyProtection="0">
      <alignment vertical="center"/>
    </xf>
    <xf numFmtId="0" fontId="104" fillId="0" borderId="0"/>
    <xf numFmtId="9" fontId="104" fillId="0" borderId="0" applyFont="0" applyFill="0" applyBorder="0" applyAlignment="0" applyProtection="0">
      <alignment vertical="center"/>
    </xf>
    <xf numFmtId="0" fontId="104" fillId="0" borderId="0"/>
    <xf numFmtId="9" fontId="104" fillId="0" borderId="0" applyFont="0" applyFill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0" fontId="104" fillId="0" borderId="0"/>
    <xf numFmtId="9" fontId="104" fillId="0" borderId="0" applyFont="0" applyFill="0" applyBorder="0" applyAlignment="0" applyProtection="0">
      <alignment vertical="center"/>
    </xf>
    <xf numFmtId="0" fontId="104" fillId="0" borderId="0"/>
    <xf numFmtId="9" fontId="104" fillId="0" borderId="0" applyFont="0" applyFill="0" applyBorder="0" applyAlignment="0" applyProtection="0">
      <alignment vertical="center"/>
    </xf>
    <xf numFmtId="0" fontId="104" fillId="0" borderId="0"/>
    <xf numFmtId="0" fontId="47" fillId="13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9" fontId="104" fillId="0" borderId="0" applyFont="0" applyFill="0" applyBorder="0" applyAlignment="0" applyProtection="0"/>
    <xf numFmtId="0" fontId="104" fillId="0" borderId="0"/>
    <xf numFmtId="9" fontId="104" fillId="0" borderId="0" applyFont="0" applyFill="0" applyBorder="0" applyAlignment="0" applyProtection="0"/>
    <xf numFmtId="9" fontId="104" fillId="0" borderId="0" applyFont="0" applyFill="0" applyBorder="0" applyAlignment="0" applyProtection="0"/>
    <xf numFmtId="0" fontId="104" fillId="0" borderId="0"/>
    <xf numFmtId="9" fontId="104" fillId="0" borderId="0" applyFont="0" applyFill="0" applyBorder="0" applyAlignment="0" applyProtection="0"/>
    <xf numFmtId="9" fontId="104" fillId="0" borderId="0" applyFont="0" applyFill="0" applyBorder="0" applyAlignment="0" applyProtection="0"/>
    <xf numFmtId="0" fontId="104" fillId="0" borderId="0"/>
    <xf numFmtId="9" fontId="104" fillId="0" borderId="0" applyFont="0" applyFill="0" applyBorder="0" applyAlignment="0" applyProtection="0"/>
    <xf numFmtId="9" fontId="104" fillId="0" borderId="0" applyFont="0" applyFill="0" applyBorder="0" applyAlignment="0" applyProtection="0"/>
    <xf numFmtId="0" fontId="104" fillId="0" borderId="0"/>
    <xf numFmtId="9" fontId="104" fillId="0" borderId="0" applyFont="0" applyFill="0" applyBorder="0" applyAlignment="0" applyProtection="0"/>
    <xf numFmtId="9" fontId="104" fillId="0" borderId="0" applyFont="0" applyFill="0" applyBorder="0" applyAlignment="0" applyProtection="0"/>
    <xf numFmtId="201" fontId="104" fillId="0" borderId="0" applyFont="0" applyFill="0" applyBorder="0" applyAlignment="0" applyProtection="0"/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42" fillId="0" borderId="68" applyNumberFormat="0" applyFill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88" fillId="10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72" fillId="25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44" fillId="25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44" fillId="2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44" fillId="25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44" fillId="25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44" fillId="25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44" fillId="25" borderId="0" applyNumberFormat="0" applyBorder="0" applyAlignment="0" applyProtection="0">
      <alignment vertical="center"/>
    </xf>
    <xf numFmtId="0" fontId="40" fillId="5" borderId="0" applyNumberFormat="0" applyBorder="0" applyAlignment="0" applyProtection="0"/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44" fillId="25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2" fillId="0" borderId="7" applyNumberFormat="0" applyFill="0" applyProtection="0">
      <alignment horizontal="right"/>
    </xf>
    <xf numFmtId="0" fontId="44" fillId="27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44" fillId="27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52" fillId="0" borderId="69" applyNumberFormat="0" applyFill="0" applyAlignment="0" applyProtection="0">
      <alignment vertical="center"/>
    </xf>
    <xf numFmtId="0" fontId="89" fillId="0" borderId="69" applyNumberFormat="0" applyFill="0" applyAlignment="0" applyProtection="0">
      <alignment vertical="center"/>
    </xf>
    <xf numFmtId="0" fontId="52" fillId="0" borderId="69" applyNumberFormat="0" applyFill="0" applyAlignment="0" applyProtection="0">
      <alignment vertical="center"/>
    </xf>
    <xf numFmtId="0" fontId="52" fillId="0" borderId="69" applyNumberFormat="0" applyFill="0" applyAlignment="0" applyProtection="0">
      <alignment vertical="center"/>
    </xf>
    <xf numFmtId="0" fontId="52" fillId="0" borderId="69" applyNumberFormat="0" applyFill="0" applyAlignment="0" applyProtection="0">
      <alignment vertical="center"/>
    </xf>
    <xf numFmtId="0" fontId="52" fillId="0" borderId="69" applyNumberFormat="0" applyFill="0" applyAlignment="0" applyProtection="0">
      <alignment vertical="center"/>
    </xf>
    <xf numFmtId="0" fontId="52" fillId="0" borderId="69" applyNumberFormat="0" applyFill="0" applyAlignment="0" applyProtection="0">
      <alignment vertical="center"/>
    </xf>
    <xf numFmtId="0" fontId="52" fillId="0" borderId="69" applyNumberFormat="0" applyFill="0" applyAlignment="0" applyProtection="0">
      <alignment vertical="center"/>
    </xf>
    <xf numFmtId="0" fontId="52" fillId="0" borderId="69" applyNumberFormat="0" applyFill="0" applyAlignment="0" applyProtection="0">
      <alignment vertical="center"/>
    </xf>
    <xf numFmtId="0" fontId="52" fillId="0" borderId="69" applyNumberFormat="0" applyFill="0" applyAlignment="0" applyProtection="0">
      <alignment vertical="center"/>
    </xf>
    <xf numFmtId="0" fontId="52" fillId="0" borderId="69" applyNumberFormat="0" applyFill="0" applyAlignment="0" applyProtection="0">
      <alignment vertical="center"/>
    </xf>
    <xf numFmtId="0" fontId="52" fillId="0" borderId="69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0" fillId="5" borderId="0" applyNumberFormat="0" applyBorder="0" applyAlignment="0" applyProtection="0"/>
    <xf numFmtId="0" fontId="52" fillId="0" borderId="69" applyNumberFormat="0" applyFill="0" applyAlignment="0" applyProtection="0">
      <alignment vertical="center"/>
    </xf>
    <xf numFmtId="0" fontId="52" fillId="0" borderId="69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2" fillId="0" borderId="69" applyNumberFormat="0" applyFill="0" applyAlignment="0" applyProtection="0">
      <alignment vertical="center"/>
    </xf>
    <xf numFmtId="0" fontId="52" fillId="0" borderId="69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2" fillId="0" borderId="69" applyNumberFormat="0" applyFill="0" applyAlignment="0" applyProtection="0">
      <alignment vertical="center"/>
    </xf>
    <xf numFmtId="0" fontId="52" fillId="0" borderId="69" applyNumberFormat="0" applyFill="0" applyAlignment="0" applyProtection="0">
      <alignment vertical="center"/>
    </xf>
    <xf numFmtId="197" fontId="25" fillId="0" borderId="15">
      <alignment vertical="center"/>
      <protection locked="0"/>
    </xf>
    <xf numFmtId="0" fontId="78" fillId="0" borderId="0" applyNumberFormat="0" applyFill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197" fontId="25" fillId="0" borderId="15">
      <alignment vertical="center"/>
      <protection locked="0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0" fillId="0" borderId="74" applyNumberFormat="0" applyFill="0" applyAlignment="0" applyProtection="0">
      <alignment vertical="center"/>
    </xf>
    <xf numFmtId="0" fontId="90" fillId="0" borderId="74" applyNumberFormat="0" applyFill="0" applyAlignment="0" applyProtection="0">
      <alignment vertical="center"/>
    </xf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70" fillId="0" borderId="74" applyNumberFormat="0" applyFill="0" applyAlignment="0" applyProtection="0">
      <alignment vertical="center"/>
    </xf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70" fillId="0" borderId="74" applyNumberFormat="0" applyFill="0" applyAlignment="0" applyProtection="0">
      <alignment vertical="center"/>
    </xf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70" fillId="0" borderId="74" applyNumberFormat="0" applyFill="0" applyAlignment="0" applyProtection="0">
      <alignment vertical="center"/>
    </xf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70" fillId="0" borderId="74" applyNumberFormat="0" applyFill="0" applyAlignment="0" applyProtection="0">
      <alignment vertical="center"/>
    </xf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70" fillId="0" borderId="74" applyNumberFormat="0" applyFill="0" applyAlignment="0" applyProtection="0">
      <alignment vertical="center"/>
    </xf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70" fillId="0" borderId="74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70" fillId="0" borderId="74" applyNumberFormat="0" applyFill="0" applyAlignment="0" applyProtection="0">
      <alignment vertical="center"/>
    </xf>
    <xf numFmtId="0" fontId="70" fillId="0" borderId="74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70" fillId="0" borderId="74" applyNumberFormat="0" applyFill="0" applyAlignment="0" applyProtection="0">
      <alignment vertical="center"/>
    </xf>
    <xf numFmtId="0" fontId="70" fillId="0" borderId="74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70" fillId="0" borderId="74" applyNumberFormat="0" applyFill="0" applyAlignment="0" applyProtection="0">
      <alignment vertical="center"/>
    </xf>
    <xf numFmtId="0" fontId="70" fillId="0" borderId="74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70" fillId="0" borderId="74" applyNumberFormat="0" applyFill="0" applyAlignment="0" applyProtection="0">
      <alignment vertical="center"/>
    </xf>
    <xf numFmtId="0" fontId="62" fillId="11" borderId="73" applyNumberFormat="0" applyAlignment="0" applyProtection="0">
      <alignment vertical="center"/>
    </xf>
    <xf numFmtId="0" fontId="70" fillId="0" borderId="74" applyNumberFormat="0" applyFill="0" applyAlignment="0" applyProtection="0">
      <alignment vertical="center"/>
    </xf>
    <xf numFmtId="0" fontId="104" fillId="0" borderId="0"/>
    <xf numFmtId="0" fontId="70" fillId="0" borderId="74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70" fillId="0" borderId="74" applyNumberFormat="0" applyFill="0" applyAlignment="0" applyProtection="0">
      <alignment vertical="center"/>
    </xf>
    <xf numFmtId="0" fontId="70" fillId="0" borderId="74" applyNumberFormat="0" applyFill="0" applyAlignment="0" applyProtection="0">
      <alignment vertical="center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91" fillId="0" borderId="72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61" fillId="0" borderId="72" applyNumberFormat="0" applyFill="0" applyAlignment="0" applyProtection="0">
      <alignment vertical="center"/>
    </xf>
    <xf numFmtId="0" fontId="92" fillId="0" borderId="0" applyNumberFormat="0" applyFill="0" applyBorder="0" applyAlignment="0" applyProtection="0"/>
    <xf numFmtId="0" fontId="61" fillId="0" borderId="72" applyNumberFormat="0" applyFill="0" applyAlignment="0" applyProtection="0">
      <alignment vertical="center"/>
    </xf>
    <xf numFmtId="0" fontId="61" fillId="0" borderId="72" applyNumberFormat="0" applyFill="0" applyAlignment="0" applyProtection="0">
      <alignment vertical="center"/>
    </xf>
    <xf numFmtId="0" fontId="61" fillId="0" borderId="72" applyNumberFormat="0" applyFill="0" applyAlignment="0" applyProtection="0">
      <alignment vertical="center"/>
    </xf>
    <xf numFmtId="0" fontId="61" fillId="0" borderId="72" applyNumberFormat="0" applyFill="0" applyAlignment="0" applyProtection="0">
      <alignment vertical="center"/>
    </xf>
    <xf numFmtId="0" fontId="61" fillId="0" borderId="72" applyNumberFormat="0" applyFill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61" fillId="0" borderId="72" applyNumberFormat="0" applyFill="0" applyAlignment="0" applyProtection="0">
      <alignment vertical="center"/>
    </xf>
    <xf numFmtId="0" fontId="61" fillId="0" borderId="72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61" fillId="0" borderId="72" applyNumberFormat="0" applyFill="0" applyAlignment="0" applyProtection="0">
      <alignment vertical="center"/>
    </xf>
    <xf numFmtId="0" fontId="61" fillId="0" borderId="72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61" fillId="0" borderId="72" applyNumberFormat="0" applyFill="0" applyAlignment="0" applyProtection="0">
      <alignment vertical="center"/>
    </xf>
    <xf numFmtId="0" fontId="61" fillId="0" borderId="72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61" fillId="0" borderId="72" applyNumberFormat="0" applyFill="0" applyAlignment="0" applyProtection="0">
      <alignment vertical="center"/>
    </xf>
    <xf numFmtId="0" fontId="61" fillId="0" borderId="72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61" fillId="0" borderId="72" applyNumberFormat="0" applyFill="0" applyAlignment="0" applyProtection="0">
      <alignment vertical="center"/>
    </xf>
    <xf numFmtId="0" fontId="61" fillId="0" borderId="72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61" fillId="0" borderId="72" applyNumberFormat="0" applyFill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61" fillId="0" borderId="7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185" fontId="104" fillId="0" borderId="0" applyFon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43" fontId="104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43" fontId="104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43" fontId="104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43" fontId="104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43" fontId="104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43" fontId="104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9" fillId="16" borderId="71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04" fillId="0" borderId="0"/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04" fillId="0" borderId="0"/>
    <xf numFmtId="0" fontId="37" fillId="5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45" fillId="0" borderId="7" applyNumberFormat="0" applyFill="0" applyProtection="0">
      <alignment horizontal="center"/>
    </xf>
    <xf numFmtId="0" fontId="45" fillId="0" borderId="7" applyNumberFormat="0" applyFill="0" applyProtection="0">
      <alignment horizontal="center"/>
    </xf>
    <xf numFmtId="0" fontId="45" fillId="0" borderId="7" applyNumberFormat="0" applyFill="0" applyProtection="0">
      <alignment horizontal="center"/>
    </xf>
    <xf numFmtId="0" fontId="37" fillId="5" borderId="0" applyNumberFormat="0" applyBorder="0" applyAlignment="0" applyProtection="0">
      <alignment vertical="center"/>
    </xf>
    <xf numFmtId="0" fontId="45" fillId="0" borderId="7" applyNumberFormat="0" applyFill="0" applyProtection="0">
      <alignment horizontal="center"/>
    </xf>
    <xf numFmtId="0" fontId="37" fillId="5" borderId="0" applyNumberFormat="0" applyBorder="0" applyAlignment="0" applyProtection="0">
      <alignment vertical="center"/>
    </xf>
    <xf numFmtId="0" fontId="45" fillId="0" borderId="7" applyNumberFormat="0" applyFill="0" applyProtection="0">
      <alignment horizontal="center"/>
    </xf>
    <xf numFmtId="0" fontId="76" fillId="0" borderId="77" applyNumberFormat="0" applyFill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5" fillId="0" borderId="7" applyNumberFormat="0" applyFill="0" applyProtection="0">
      <alignment horizontal="center"/>
    </xf>
    <xf numFmtId="0" fontId="37" fillId="5" borderId="0" applyNumberFormat="0" applyBorder="0" applyAlignment="0" applyProtection="0">
      <alignment vertical="center"/>
    </xf>
    <xf numFmtId="0" fontId="45" fillId="0" borderId="7" applyNumberFormat="0" applyFill="0" applyProtection="0">
      <alignment horizontal="center"/>
    </xf>
    <xf numFmtId="0" fontId="45" fillId="0" borderId="7" applyNumberFormat="0" applyFill="0" applyProtection="0">
      <alignment horizontal="center"/>
    </xf>
    <xf numFmtId="0" fontId="37" fillId="5" borderId="0" applyNumberFormat="0" applyBorder="0" applyAlignment="0" applyProtection="0">
      <alignment vertical="center"/>
    </xf>
    <xf numFmtId="0" fontId="45" fillId="0" borderId="7" applyNumberFormat="0" applyFill="0" applyProtection="0">
      <alignment horizontal="center"/>
    </xf>
    <xf numFmtId="0" fontId="45" fillId="0" borderId="7" applyNumberFormat="0" applyFill="0" applyProtection="0">
      <alignment horizontal="center"/>
    </xf>
    <xf numFmtId="0" fontId="104" fillId="0" borderId="0">
      <alignment vertical="center"/>
    </xf>
    <xf numFmtId="0" fontId="37" fillId="5" borderId="0" applyNumberFormat="0" applyBorder="0" applyAlignment="0" applyProtection="0">
      <alignment vertical="center"/>
    </xf>
    <xf numFmtId="0" fontId="45" fillId="0" borderId="7" applyNumberFormat="0" applyFill="0" applyProtection="0">
      <alignment horizontal="center"/>
    </xf>
    <xf numFmtId="0" fontId="45" fillId="0" borderId="7" applyNumberFormat="0" applyFill="0" applyProtection="0">
      <alignment horizontal="center"/>
    </xf>
    <xf numFmtId="0" fontId="45" fillId="0" borderId="7" applyNumberFormat="0" applyFill="0" applyProtection="0">
      <alignment horizontal="center"/>
    </xf>
    <xf numFmtId="0" fontId="45" fillId="0" borderId="7" applyNumberFormat="0" applyFill="0" applyProtection="0">
      <alignment horizontal="center"/>
    </xf>
    <xf numFmtId="0" fontId="45" fillId="0" borderId="7" applyNumberFormat="0" applyFill="0" applyProtection="0">
      <alignment horizontal="center"/>
    </xf>
    <xf numFmtId="0" fontId="45" fillId="0" borderId="7" applyNumberFormat="0" applyFill="0" applyProtection="0">
      <alignment horizontal="center"/>
    </xf>
    <xf numFmtId="0" fontId="45" fillId="0" borderId="7" applyNumberFormat="0" applyFill="0" applyProtection="0">
      <alignment horizontal="center"/>
    </xf>
    <xf numFmtId="0" fontId="45" fillId="0" borderId="7" applyNumberFormat="0" applyFill="0" applyProtection="0">
      <alignment horizontal="center"/>
    </xf>
    <xf numFmtId="0" fontId="45" fillId="0" borderId="7" applyNumberFormat="0" applyFill="0" applyProtection="0">
      <alignment horizontal="center"/>
    </xf>
    <xf numFmtId="0" fontId="45" fillId="0" borderId="7" applyNumberFormat="0" applyFill="0" applyProtection="0">
      <alignment horizontal="center"/>
    </xf>
    <xf numFmtId="0" fontId="45" fillId="0" borderId="7" applyNumberFormat="0" applyFill="0" applyProtection="0">
      <alignment horizontal="center"/>
    </xf>
    <xf numFmtId="0" fontId="45" fillId="0" borderId="7" applyNumberFormat="0" applyFill="0" applyProtection="0">
      <alignment horizontal="center"/>
    </xf>
    <xf numFmtId="0" fontId="45" fillId="0" borderId="7" applyNumberFormat="0" applyFill="0" applyProtection="0">
      <alignment horizontal="center"/>
    </xf>
    <xf numFmtId="0" fontId="45" fillId="0" borderId="7" applyNumberFormat="0" applyFill="0" applyProtection="0">
      <alignment horizontal="center"/>
    </xf>
    <xf numFmtId="0" fontId="45" fillId="0" borderId="7" applyNumberFormat="0" applyFill="0" applyProtection="0">
      <alignment horizontal="center"/>
    </xf>
    <xf numFmtId="0" fontId="45" fillId="0" borderId="7" applyNumberFormat="0" applyFill="0" applyProtection="0">
      <alignment horizontal="center"/>
    </xf>
    <xf numFmtId="0" fontId="45" fillId="0" borderId="7" applyNumberFormat="0" applyFill="0" applyProtection="0">
      <alignment horizontal="center"/>
    </xf>
    <xf numFmtId="0" fontId="51" fillId="10" borderId="0" applyNumberFormat="0" applyBorder="0" applyAlignment="0" applyProtection="0">
      <alignment vertical="center"/>
    </xf>
    <xf numFmtId="0" fontId="45" fillId="0" borderId="7" applyNumberFormat="0" applyFill="0" applyProtection="0">
      <alignment horizontal="center"/>
    </xf>
    <xf numFmtId="0" fontId="51" fillId="10" borderId="0" applyNumberFormat="0" applyBorder="0" applyAlignment="0" applyProtection="0">
      <alignment vertical="center"/>
    </xf>
    <xf numFmtId="0" fontId="45" fillId="0" borderId="7" applyNumberFormat="0" applyFill="0" applyProtection="0">
      <alignment horizontal="center"/>
    </xf>
    <xf numFmtId="0" fontId="51" fillId="10" borderId="0" applyNumberFormat="0" applyBorder="0" applyAlignment="0" applyProtection="0">
      <alignment vertical="center"/>
    </xf>
    <xf numFmtId="0" fontId="45" fillId="0" borderId="7" applyNumberFormat="0" applyFill="0" applyProtection="0">
      <alignment horizontal="center"/>
    </xf>
    <xf numFmtId="0" fontId="86" fillId="0" borderId="0" applyNumberFormat="0" applyFill="0" applyBorder="0" applyAlignment="0" applyProtection="0"/>
    <xf numFmtId="0" fontId="104" fillId="0" borderId="0"/>
    <xf numFmtId="0" fontId="86" fillId="0" borderId="0" applyNumberFormat="0" applyFill="0" applyBorder="0" applyAlignment="0" applyProtection="0"/>
    <xf numFmtId="0" fontId="49" fillId="0" borderId="2" applyNumberFormat="0" applyFill="0" applyProtection="0">
      <alignment horizontal="center"/>
    </xf>
    <xf numFmtId="0" fontId="49" fillId="0" borderId="2" applyNumberFormat="0" applyFill="0" applyProtection="0">
      <alignment horizontal="center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49" fillId="0" borderId="2" applyNumberFormat="0" applyFill="0" applyProtection="0">
      <alignment horizontal="center"/>
    </xf>
    <xf numFmtId="0" fontId="49" fillId="0" borderId="2" applyNumberFormat="0" applyFill="0" applyProtection="0">
      <alignment horizontal="center"/>
    </xf>
    <xf numFmtId="0" fontId="93" fillId="16" borderId="70" applyNumberFormat="0" applyAlignment="0" applyProtection="0">
      <alignment vertical="center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49" fillId="0" borderId="2" applyNumberFormat="0" applyFill="0" applyProtection="0">
      <alignment horizontal="center"/>
    </xf>
    <xf numFmtId="0" fontId="49" fillId="0" borderId="2" applyNumberFormat="0" applyFill="0" applyProtection="0">
      <alignment horizontal="center"/>
    </xf>
    <xf numFmtId="0" fontId="49" fillId="0" borderId="2" applyNumberFormat="0" applyFill="0" applyProtection="0">
      <alignment horizontal="center"/>
    </xf>
    <xf numFmtId="0" fontId="54" fillId="16" borderId="70" applyNumberFormat="0" applyAlignment="0" applyProtection="0">
      <alignment vertical="center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49" fillId="0" borderId="2" applyNumberFormat="0" applyFill="0" applyProtection="0">
      <alignment horizontal="center"/>
    </xf>
    <xf numFmtId="0" fontId="49" fillId="0" borderId="2" applyNumberFormat="0" applyFill="0" applyProtection="0">
      <alignment horizontal="center"/>
    </xf>
    <xf numFmtId="0" fontId="54" fillId="16" borderId="70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49" fillId="0" borderId="2" applyNumberFormat="0" applyFill="0" applyProtection="0">
      <alignment horizontal="center"/>
    </xf>
    <xf numFmtId="0" fontId="49" fillId="0" borderId="2" applyNumberFormat="0" applyFill="0" applyProtection="0">
      <alignment horizontal="center"/>
    </xf>
    <xf numFmtId="0" fontId="54" fillId="16" borderId="70" applyNumberFormat="0" applyAlignment="0" applyProtection="0">
      <alignment vertical="center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49" fillId="0" borderId="2" applyNumberFormat="0" applyFill="0" applyProtection="0">
      <alignment horizontal="center"/>
    </xf>
    <xf numFmtId="0" fontId="49" fillId="0" borderId="2" applyNumberFormat="0" applyFill="0" applyProtection="0">
      <alignment horizontal="center"/>
    </xf>
    <xf numFmtId="0" fontId="54" fillId="16" borderId="70" applyNumberFormat="0" applyAlignment="0" applyProtection="0">
      <alignment vertical="center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49" fillId="0" borderId="2" applyNumberFormat="0" applyFill="0" applyProtection="0">
      <alignment horizontal="center"/>
    </xf>
    <xf numFmtId="0" fontId="49" fillId="0" borderId="2" applyNumberFormat="0" applyFill="0" applyProtection="0">
      <alignment horizontal="center"/>
    </xf>
    <xf numFmtId="0" fontId="54" fillId="16" borderId="70" applyNumberFormat="0" applyAlignment="0" applyProtection="0">
      <alignment vertical="center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49" fillId="0" borderId="2" applyNumberFormat="0" applyFill="0" applyProtection="0">
      <alignment horizontal="center"/>
    </xf>
    <xf numFmtId="0" fontId="49" fillId="0" borderId="2" applyNumberFormat="0" applyFill="0" applyProtection="0">
      <alignment horizontal="center"/>
    </xf>
    <xf numFmtId="0" fontId="49" fillId="0" borderId="2" applyNumberFormat="0" applyFill="0" applyProtection="0">
      <alignment horizontal="center"/>
    </xf>
    <xf numFmtId="0" fontId="49" fillId="0" borderId="2" applyNumberFormat="0" applyFill="0" applyProtection="0">
      <alignment horizontal="center"/>
    </xf>
    <xf numFmtId="0" fontId="49" fillId="0" borderId="2" applyNumberFormat="0" applyFill="0" applyProtection="0">
      <alignment horizontal="center"/>
    </xf>
    <xf numFmtId="0" fontId="49" fillId="0" borderId="2" applyNumberFormat="0" applyFill="0" applyProtection="0">
      <alignment horizontal="center"/>
    </xf>
    <xf numFmtId="0" fontId="49" fillId="0" borderId="2" applyNumberFormat="0" applyFill="0" applyProtection="0">
      <alignment horizontal="center"/>
    </xf>
    <xf numFmtId="0" fontId="37" fillId="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94" fillId="0" borderId="0"/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5" fillId="20" borderId="71" applyNumberFormat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5" fillId="20" borderId="71" applyNumberFormat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1" fillId="0" borderId="0"/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04" fillId="0" borderId="0"/>
    <xf numFmtId="0" fontId="37" fillId="5" borderId="0" applyNumberFormat="0" applyBorder="0" applyAlignment="0" applyProtection="0">
      <alignment vertical="center"/>
    </xf>
    <xf numFmtId="0" fontId="104" fillId="0" borderId="0"/>
    <xf numFmtId="0" fontId="37" fillId="5" borderId="0" applyNumberFormat="0" applyBorder="0" applyAlignment="0" applyProtection="0">
      <alignment vertical="center"/>
    </xf>
    <xf numFmtId="0" fontId="104" fillId="0" borderId="0"/>
    <xf numFmtId="0" fontId="37" fillId="5" borderId="0" applyNumberFormat="0" applyBorder="0" applyAlignment="0" applyProtection="0">
      <alignment vertical="center"/>
    </xf>
    <xf numFmtId="0" fontId="104" fillId="0" borderId="0"/>
    <xf numFmtId="0" fontId="37" fillId="5" borderId="0" applyNumberFormat="0" applyBorder="0" applyAlignment="0" applyProtection="0">
      <alignment vertical="center"/>
    </xf>
    <xf numFmtId="0" fontId="104" fillId="0" borderId="0"/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04" fillId="0" borderId="0">
      <alignment vertical="center"/>
    </xf>
    <xf numFmtId="0" fontId="37" fillId="5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04" fillId="0" borderId="0"/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04" fillId="0" borderId="0"/>
    <xf numFmtId="0" fontId="37" fillId="5" borderId="0" applyNumberFormat="0" applyBorder="0" applyAlignment="0" applyProtection="0">
      <alignment vertical="center"/>
    </xf>
    <xf numFmtId="0" fontId="104" fillId="0" borderId="0"/>
    <xf numFmtId="0" fontId="37" fillId="5" borderId="0" applyNumberFormat="0" applyBorder="0" applyAlignment="0" applyProtection="0">
      <alignment vertical="center"/>
    </xf>
    <xf numFmtId="0" fontId="104" fillId="0" borderId="0"/>
    <xf numFmtId="0" fontId="37" fillId="5" borderId="0" applyNumberFormat="0" applyBorder="0" applyAlignment="0" applyProtection="0">
      <alignment vertical="center"/>
    </xf>
    <xf numFmtId="0" fontId="104" fillId="0" borderId="0"/>
    <xf numFmtId="0" fontId="37" fillId="5" borderId="0" applyNumberFormat="0" applyBorder="0" applyAlignment="0" applyProtection="0">
      <alignment vertical="center"/>
    </xf>
    <xf numFmtId="0" fontId="104" fillId="0" borderId="0"/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2" fillId="11" borderId="73" applyNumberFormat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2" fillId="11" borderId="73" applyNumberFormat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04" fillId="0" borderId="0"/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2" fillId="11" borderId="73" applyNumberFormat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04" fillId="0" borderId="0"/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203" fontId="104" fillId="0" borderId="0" applyFont="0" applyFill="0" applyBorder="0" applyAlignment="0" applyProtection="0"/>
    <xf numFmtId="0" fontId="41" fillId="10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/>
    <xf numFmtId="0" fontId="41" fillId="10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/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197" fontId="25" fillId="0" borderId="15">
      <alignment vertical="center"/>
      <protection locked="0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65" fillId="20" borderId="71" applyNumberFormat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76" fillId="0" borderId="77" applyNumberFormat="0" applyFill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54" fillId="16" borderId="70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38" fillId="0" borderId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62" fillId="11" borderId="73" applyNumberFormat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1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177" fontId="2" fillId="0" borderId="2" applyFill="0" applyProtection="0">
      <alignment horizontal="right"/>
    </xf>
    <xf numFmtId="0" fontId="41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04" fillId="0" borderId="0"/>
    <xf numFmtId="0" fontId="37" fillId="5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04" fillId="0" borderId="0"/>
    <xf numFmtId="0" fontId="37" fillId="4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04" fillId="0" borderId="0"/>
    <xf numFmtId="0" fontId="65" fillId="20" borderId="71" applyNumberFormat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04" fillId="0" borderId="0"/>
    <xf numFmtId="0" fontId="41" fillId="8" borderId="0" applyNumberFormat="0" applyBorder="0" applyAlignment="0" applyProtection="0">
      <alignment vertical="center"/>
    </xf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44" fillId="27" borderId="0" applyNumberFormat="0" applyBorder="0" applyAlignment="0" applyProtection="0">
      <alignment vertical="center"/>
    </xf>
    <xf numFmtId="0" fontId="38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38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38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38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38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38" fillId="0" borderId="0">
      <alignment vertical="center"/>
    </xf>
    <xf numFmtId="0" fontId="104" fillId="0" borderId="0"/>
    <xf numFmtId="0" fontId="104" fillId="0" borderId="0"/>
    <xf numFmtId="0" fontId="104" fillId="0" borderId="0">
      <alignment vertical="center"/>
    </xf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51" fillId="8" borderId="0" applyNumberFormat="0" applyBorder="0" applyAlignment="0" applyProtection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38" fillId="0" borderId="0">
      <alignment vertical="center"/>
    </xf>
    <xf numFmtId="0" fontId="95" fillId="20" borderId="71" applyNumberFormat="0" applyAlignment="0" applyProtection="0">
      <alignment vertical="center"/>
    </xf>
    <xf numFmtId="0" fontId="38" fillId="0" borderId="0">
      <alignment vertical="center"/>
    </xf>
    <xf numFmtId="0" fontId="51" fillId="10" borderId="0" applyNumberFormat="0" applyBorder="0" applyAlignment="0" applyProtection="0">
      <alignment vertical="center"/>
    </xf>
    <xf numFmtId="0" fontId="38" fillId="0" borderId="0">
      <alignment vertical="center"/>
    </xf>
    <xf numFmtId="0" fontId="51" fillId="10" borderId="0" applyNumberFormat="0" applyBorder="0" applyAlignment="0" applyProtection="0">
      <alignment vertical="center"/>
    </xf>
    <xf numFmtId="41" fontId="104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51" fillId="10" borderId="0" applyNumberFormat="0" applyBorder="0" applyAlignment="0" applyProtection="0">
      <alignment vertical="center"/>
    </xf>
    <xf numFmtId="41" fontId="104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51" fillId="10" borderId="0" applyNumberFormat="0" applyBorder="0" applyAlignment="0" applyProtection="0">
      <alignment vertical="center"/>
    </xf>
    <xf numFmtId="41" fontId="104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41" fontId="104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41" fontId="104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41" fontId="104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5" fillId="20" borderId="71" applyNumberFormat="0" applyAlignment="0" applyProtection="0">
      <alignment vertical="center"/>
    </xf>
    <xf numFmtId="0" fontId="88" fillId="10" borderId="0" applyNumberFormat="0" applyBorder="0" applyAlignment="0" applyProtection="0">
      <alignment vertical="center"/>
    </xf>
    <xf numFmtId="0" fontId="104" fillId="0" borderId="0"/>
    <xf numFmtId="0" fontId="88" fillId="10" borderId="0" applyNumberFormat="0" applyBorder="0" applyAlignment="0" applyProtection="0">
      <alignment vertical="center"/>
    </xf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>
      <alignment vertical="center"/>
    </xf>
    <xf numFmtId="0" fontId="104" fillId="0" borderId="0"/>
    <xf numFmtId="0" fontId="104" fillId="0" borderId="0"/>
    <xf numFmtId="0" fontId="68" fillId="10" borderId="0" applyNumberFormat="0" applyBorder="0" applyAlignment="0" applyProtection="0">
      <alignment vertical="center"/>
    </xf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38" fillId="0" borderId="0">
      <alignment vertical="center"/>
    </xf>
    <xf numFmtId="0" fontId="104" fillId="0" borderId="0"/>
    <xf numFmtId="0" fontId="104" fillId="0" borderId="0"/>
    <xf numFmtId="0" fontId="104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68" fillId="10" borderId="0" applyNumberFormat="0" applyBorder="0" applyAlignment="0" applyProtection="0">
      <alignment vertical="center"/>
    </xf>
    <xf numFmtId="0" fontId="104" fillId="0" borderId="0">
      <alignment vertical="center"/>
    </xf>
    <xf numFmtId="0" fontId="42" fillId="0" borderId="68" applyNumberFormat="0" applyFill="0" applyAlignment="0" applyProtection="0">
      <alignment vertical="center"/>
    </xf>
    <xf numFmtId="0" fontId="104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104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104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104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68" fillId="10" borderId="0" applyNumberFormat="0" applyBorder="0" applyAlignment="0" applyProtection="0">
      <alignment vertical="center"/>
    </xf>
    <xf numFmtId="0" fontId="104" fillId="0" borderId="0"/>
    <xf numFmtId="43" fontId="104" fillId="0" borderId="0" applyFont="0" applyFill="0" applyBorder="0" applyAlignment="0" applyProtection="0"/>
    <xf numFmtId="0" fontId="88" fillId="10" borderId="0" applyNumberFormat="0" applyBorder="0" applyAlignment="0" applyProtection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104" fillId="0" borderId="0" applyNumberFormat="0" applyFill="0" applyBorder="0" applyAlignment="0" applyProtection="0"/>
    <xf numFmtId="0" fontId="74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9" fillId="16" borderId="71" applyNumberFormat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62" fillId="11" borderId="73" applyNumberFormat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2" fillId="11" borderId="73" applyNumberFormat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2" fillId="11" borderId="73" applyNumberFormat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1" fontId="2" fillId="0" borderId="2" applyFill="0" applyProtection="0">
      <alignment horizont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104" fillId="24" borderId="75" applyNumberFormat="0" applyFont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41" fillId="8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41" fillId="8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41" fillId="8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41" fillId="8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41" fillId="8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41" fillId="8" borderId="0" applyNumberFormat="0" applyBorder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43" fontId="104" fillId="0" borderId="0" applyFont="0" applyFill="0" applyBorder="0" applyAlignment="0" applyProtection="0"/>
    <xf numFmtId="0" fontId="41" fillId="8" borderId="0" applyNumberFormat="0" applyBorder="0" applyAlignment="0" applyProtection="0">
      <alignment vertical="center"/>
    </xf>
    <xf numFmtId="43" fontId="104" fillId="0" borderId="0" applyFont="0" applyFill="0" applyBorder="0" applyAlignment="0" applyProtection="0"/>
    <xf numFmtId="0" fontId="41" fillId="8" borderId="0" applyNumberFormat="0" applyBorder="0" applyAlignment="0" applyProtection="0">
      <alignment vertical="center"/>
    </xf>
    <xf numFmtId="43" fontId="104" fillId="0" borderId="0" applyFont="0" applyFill="0" applyBorder="0" applyAlignment="0" applyProtection="0"/>
    <xf numFmtId="0" fontId="41" fillId="8" borderId="0" applyNumberFormat="0" applyBorder="0" applyAlignment="0" applyProtection="0">
      <alignment vertical="center"/>
    </xf>
    <xf numFmtId="43" fontId="104" fillId="0" borderId="0" applyFont="0" applyFill="0" applyBorder="0" applyAlignment="0" applyProtection="0"/>
    <xf numFmtId="0" fontId="41" fillId="8" borderId="0" applyNumberFormat="0" applyBorder="0" applyAlignment="0" applyProtection="0">
      <alignment vertical="center"/>
    </xf>
    <xf numFmtId="43" fontId="104" fillId="0" borderId="0" applyFont="0" applyFill="0" applyBorder="0" applyAlignment="0" applyProtection="0"/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177" fontId="2" fillId="0" borderId="2" applyFill="0" applyProtection="0">
      <alignment horizontal="right"/>
    </xf>
    <xf numFmtId="0" fontId="41" fillId="8" borderId="0" applyNumberFormat="0" applyBorder="0" applyAlignment="0" applyProtection="0">
      <alignment vertical="center"/>
    </xf>
    <xf numFmtId="177" fontId="2" fillId="0" borderId="2" applyFill="0" applyProtection="0">
      <alignment horizontal="right"/>
    </xf>
    <xf numFmtId="177" fontId="2" fillId="0" borderId="2" applyFill="0" applyProtection="0">
      <alignment horizontal="right"/>
    </xf>
    <xf numFmtId="0" fontId="41" fillId="8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1" fillId="8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1" fillId="8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1" fillId="8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88" fillId="10" borderId="0" applyNumberFormat="0" applyBorder="0" applyAlignment="0" applyProtection="0">
      <alignment vertical="center"/>
    </xf>
    <xf numFmtId="0" fontId="88" fillId="10" borderId="0" applyNumberFormat="0" applyBorder="0" applyAlignment="0" applyProtection="0">
      <alignment vertical="center"/>
    </xf>
    <xf numFmtId="0" fontId="88" fillId="10" borderId="0" applyNumberFormat="0" applyBorder="0" applyAlignment="0" applyProtection="0">
      <alignment vertical="center"/>
    </xf>
    <xf numFmtId="0" fontId="88" fillId="10" borderId="0" applyNumberFormat="0" applyBorder="0" applyAlignment="0" applyProtection="0">
      <alignment vertical="center"/>
    </xf>
    <xf numFmtId="0" fontId="88" fillId="10" borderId="0" applyNumberFormat="0" applyBorder="0" applyAlignment="0" applyProtection="0">
      <alignment vertical="center"/>
    </xf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0" fontId="44" fillId="1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51" fillId="8" borderId="0" applyNumberFormat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51" fillId="8" borderId="0" applyNumberFormat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185" fontId="104" fillId="0" borderId="0" applyFont="0" applyFill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59" fillId="16" borderId="71" applyNumberFormat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9" fillId="16" borderId="71" applyNumberFormat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43" fontId="104" fillId="0" borderId="0" applyFont="0" applyFill="0" applyBorder="0" applyAlignment="0" applyProtection="0"/>
    <xf numFmtId="0" fontId="76" fillId="0" borderId="77" applyNumberFormat="0" applyFill="0" applyAlignment="0" applyProtection="0">
      <alignment vertical="center"/>
    </xf>
    <xf numFmtId="0" fontId="76" fillId="0" borderId="77" applyNumberFormat="0" applyFill="0" applyAlignment="0" applyProtection="0">
      <alignment vertical="center"/>
    </xf>
    <xf numFmtId="0" fontId="76" fillId="0" borderId="77" applyNumberFormat="0" applyFill="0" applyAlignment="0" applyProtection="0">
      <alignment vertical="center"/>
    </xf>
    <xf numFmtId="1" fontId="25" fillId="0" borderId="15">
      <alignment vertical="center"/>
      <protection locked="0"/>
    </xf>
    <xf numFmtId="0" fontId="76" fillId="0" borderId="77" applyNumberFormat="0" applyFill="0" applyAlignment="0" applyProtection="0">
      <alignment vertical="center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0" fontId="76" fillId="0" borderId="77" applyNumberFormat="0" applyFill="0" applyAlignment="0" applyProtection="0">
      <alignment vertical="center"/>
    </xf>
    <xf numFmtId="0" fontId="76" fillId="0" borderId="77" applyNumberFormat="0" applyFill="0" applyAlignment="0" applyProtection="0">
      <alignment vertical="center"/>
    </xf>
    <xf numFmtId="0" fontId="76" fillId="0" borderId="77" applyNumberFormat="0" applyFill="0" applyAlignment="0" applyProtection="0">
      <alignment vertical="center"/>
    </xf>
    <xf numFmtId="0" fontId="76" fillId="0" borderId="77" applyNumberFormat="0" applyFill="0" applyAlignment="0" applyProtection="0">
      <alignment vertical="center"/>
    </xf>
    <xf numFmtId="0" fontId="96" fillId="16" borderId="71" applyNumberFormat="0" applyAlignment="0" applyProtection="0">
      <alignment vertical="center"/>
    </xf>
    <xf numFmtId="0" fontId="59" fillId="16" borderId="71" applyNumberFormat="0" applyAlignment="0" applyProtection="0">
      <alignment vertical="center"/>
    </xf>
    <xf numFmtId="0" fontId="59" fillId="16" borderId="71" applyNumberFormat="0" applyAlignment="0" applyProtection="0">
      <alignment vertical="center"/>
    </xf>
    <xf numFmtId="0" fontId="59" fillId="16" borderId="71" applyNumberFormat="0" applyAlignment="0" applyProtection="0">
      <alignment vertical="center"/>
    </xf>
    <xf numFmtId="0" fontId="59" fillId="16" borderId="71" applyNumberFormat="0" applyAlignment="0" applyProtection="0">
      <alignment vertical="center"/>
    </xf>
    <xf numFmtId="0" fontId="59" fillId="16" borderId="71" applyNumberFormat="0" applyAlignment="0" applyProtection="0">
      <alignment vertical="center"/>
    </xf>
    <xf numFmtId="0" fontId="59" fillId="16" borderId="71" applyNumberFormat="0" applyAlignment="0" applyProtection="0">
      <alignment vertical="center"/>
    </xf>
    <xf numFmtId="0" fontId="59" fillId="16" borderId="71" applyNumberFormat="0" applyAlignment="0" applyProtection="0">
      <alignment vertical="center"/>
    </xf>
    <xf numFmtId="0" fontId="59" fillId="16" borderId="71" applyNumberFormat="0" applyAlignment="0" applyProtection="0">
      <alignment vertical="center"/>
    </xf>
    <xf numFmtId="0" fontId="59" fillId="16" borderId="71" applyNumberFormat="0" applyAlignment="0" applyProtection="0">
      <alignment vertical="center"/>
    </xf>
    <xf numFmtId="0" fontId="59" fillId="16" borderId="71" applyNumberFormat="0" applyAlignment="0" applyProtection="0">
      <alignment vertical="center"/>
    </xf>
    <xf numFmtId="0" fontId="59" fillId="16" borderId="71" applyNumberFormat="0" applyAlignment="0" applyProtection="0">
      <alignment vertical="center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97" fillId="11" borderId="73" applyNumberFormat="0" applyAlignment="0" applyProtection="0">
      <alignment vertical="center"/>
    </xf>
    <xf numFmtId="197" fontId="25" fillId="0" borderId="15">
      <alignment vertical="center"/>
      <protection locked="0"/>
    </xf>
    <xf numFmtId="0" fontId="62" fillId="11" borderId="73" applyNumberFormat="0" applyAlignment="0" applyProtection="0">
      <alignment vertical="center"/>
    </xf>
    <xf numFmtId="0" fontId="62" fillId="11" borderId="73" applyNumberFormat="0" applyAlignment="0" applyProtection="0">
      <alignment vertical="center"/>
    </xf>
    <xf numFmtId="0" fontId="62" fillId="11" borderId="73" applyNumberFormat="0" applyAlignment="0" applyProtection="0">
      <alignment vertical="center"/>
    </xf>
    <xf numFmtId="0" fontId="62" fillId="11" borderId="73" applyNumberFormat="0" applyAlignment="0" applyProtection="0">
      <alignment vertical="center"/>
    </xf>
    <xf numFmtId="0" fontId="62" fillId="11" borderId="73" applyNumberFormat="0" applyAlignment="0" applyProtection="0">
      <alignment vertical="center"/>
    </xf>
    <xf numFmtId="0" fontId="62" fillId="11" borderId="73" applyNumberFormat="0" applyAlignment="0" applyProtection="0">
      <alignment vertical="center"/>
    </xf>
    <xf numFmtId="0" fontId="62" fillId="11" borderId="73" applyNumberFormat="0" applyAlignment="0" applyProtection="0">
      <alignment vertical="center"/>
    </xf>
    <xf numFmtId="197" fontId="25" fillId="0" borderId="15">
      <alignment vertical="center"/>
      <protection locked="0"/>
    </xf>
    <xf numFmtId="0" fontId="62" fillId="11" borderId="73" applyNumberFormat="0" applyAlignment="0" applyProtection="0">
      <alignment vertical="center"/>
    </xf>
    <xf numFmtId="0" fontId="62" fillId="11" borderId="73" applyNumberFormat="0" applyAlignment="0" applyProtection="0">
      <alignment vertical="center"/>
    </xf>
    <xf numFmtId="0" fontId="62" fillId="11" borderId="73" applyNumberFormat="0" applyAlignment="0" applyProtection="0">
      <alignment vertical="center"/>
    </xf>
    <xf numFmtId="0" fontId="62" fillId="11" borderId="73" applyNumberFormat="0" applyAlignment="0" applyProtection="0">
      <alignment vertical="center"/>
    </xf>
    <xf numFmtId="0" fontId="62" fillId="11" borderId="7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49" fillId="0" borderId="2" applyNumberFormat="0" applyFill="0" applyProtection="0">
      <alignment horizontal="left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98" fillId="0" borderId="68" applyNumberFormat="0" applyFill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205" fontId="104" fillId="0" borderId="0" applyFont="0" applyFill="0" applyBorder="0" applyAlignment="0" applyProtection="0"/>
    <xf numFmtId="207" fontId="104" fillId="0" borderId="0" applyFont="0" applyFill="0" applyBorder="0" applyAlignment="0" applyProtection="0"/>
    <xf numFmtId="176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0" fontId="44" fillId="22" borderId="0" applyNumberFormat="0" applyBorder="0" applyAlignment="0" applyProtection="0">
      <alignment vertical="center"/>
    </xf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185" fontId="104" fillId="0" borderId="0" applyFont="0" applyFill="0" applyBorder="0" applyAlignment="0" applyProtection="0">
      <alignment vertical="center"/>
    </xf>
    <xf numFmtId="185" fontId="104" fillId="0" borderId="0" applyFont="0" applyFill="0" applyBorder="0" applyAlignment="0" applyProtection="0">
      <alignment vertical="center"/>
    </xf>
    <xf numFmtId="185" fontId="104" fillId="0" borderId="0" applyFont="0" applyFill="0" applyBorder="0" applyAlignment="0" applyProtection="0">
      <alignment vertical="center"/>
    </xf>
    <xf numFmtId="185" fontId="104" fillId="0" borderId="0" applyFont="0" applyFill="0" applyBorder="0" applyAlignment="0" applyProtection="0">
      <alignment vertical="center"/>
    </xf>
    <xf numFmtId="185" fontId="104" fillId="0" borderId="0" applyFont="0" applyFill="0" applyBorder="0" applyAlignment="0" applyProtection="0">
      <alignment vertical="center"/>
    </xf>
    <xf numFmtId="185" fontId="104" fillId="0" borderId="0" applyFont="0" applyFill="0" applyBorder="0" applyAlignment="0" applyProtection="0">
      <alignment vertical="center"/>
    </xf>
    <xf numFmtId="185" fontId="104" fillId="0" borderId="0" applyFont="0" applyFill="0" applyBorder="0" applyAlignment="0" applyProtection="0">
      <alignment vertical="center"/>
    </xf>
    <xf numFmtId="43" fontId="104" fillId="0" borderId="0" applyFont="0" applyFill="0" applyBorder="0" applyAlignment="0" applyProtection="0"/>
    <xf numFmtId="41" fontId="104" fillId="0" borderId="0" applyFont="0" applyFill="0" applyBorder="0" applyAlignment="0" applyProtection="0">
      <alignment vertic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0" fontId="44" fillId="18" borderId="0" applyNumberFormat="0" applyBorder="0" applyAlignment="0" applyProtection="0">
      <alignment vertic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0" fontId="44" fillId="18" borderId="0" applyNumberFormat="0" applyBorder="0" applyAlignment="0" applyProtection="0">
      <alignment vertic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0" fontId="44" fillId="18" borderId="0" applyNumberFormat="0" applyBorder="0" applyAlignment="0" applyProtection="0">
      <alignment vertic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0" fontId="44" fillId="18" borderId="0" applyNumberFormat="0" applyBorder="0" applyAlignment="0" applyProtection="0">
      <alignment vertic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72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65" fillId="20" borderId="71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4" fillId="16" borderId="70" applyNumberFormat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177" fontId="2" fillId="0" borderId="2" applyFill="0" applyProtection="0">
      <alignment horizontal="right"/>
    </xf>
    <xf numFmtId="177" fontId="2" fillId="0" borderId="2" applyFill="0" applyProtection="0">
      <alignment horizontal="right"/>
    </xf>
    <xf numFmtId="177" fontId="2" fillId="0" borderId="2" applyFill="0" applyProtection="0">
      <alignment horizontal="right"/>
    </xf>
    <xf numFmtId="177" fontId="2" fillId="0" borderId="2" applyFill="0" applyProtection="0">
      <alignment horizontal="right"/>
    </xf>
    <xf numFmtId="177" fontId="2" fillId="0" borderId="2" applyFill="0" applyProtection="0">
      <alignment horizontal="right"/>
    </xf>
    <xf numFmtId="177" fontId="2" fillId="0" borderId="2" applyFill="0" applyProtection="0">
      <alignment horizontal="right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2" fillId="0" borderId="7" applyNumberFormat="0" applyFill="0" applyProtection="0">
      <alignment horizontal="left"/>
    </xf>
    <xf numFmtId="0" fontId="99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54" fillId="16" borderId="70" applyNumberFormat="0" applyAlignment="0" applyProtection="0">
      <alignment vertical="center"/>
    </xf>
    <xf numFmtId="0" fontId="54" fillId="16" borderId="70" applyNumberFormat="0" applyAlignment="0" applyProtection="0">
      <alignment vertical="center"/>
    </xf>
    <xf numFmtId="0" fontId="65" fillId="20" borderId="71" applyNumberFormat="0" applyAlignment="0" applyProtection="0">
      <alignment vertical="center"/>
    </xf>
    <xf numFmtId="0" fontId="65" fillId="20" borderId="71" applyNumberFormat="0" applyAlignment="0" applyProtection="0">
      <alignment vertical="center"/>
    </xf>
    <xf numFmtId="0" fontId="65" fillId="20" borderId="71" applyNumberFormat="0" applyAlignment="0" applyProtection="0">
      <alignment vertical="center"/>
    </xf>
    <xf numFmtId="0" fontId="65" fillId="20" borderId="71" applyNumberFormat="0" applyAlignment="0" applyProtection="0">
      <alignment vertical="center"/>
    </xf>
    <xf numFmtId="0" fontId="65" fillId="20" borderId="71" applyNumberFormat="0" applyAlignment="0" applyProtection="0">
      <alignment vertical="center"/>
    </xf>
    <xf numFmtId="0" fontId="65" fillId="20" borderId="71" applyNumberFormat="0" applyAlignment="0" applyProtection="0">
      <alignment vertical="center"/>
    </xf>
    <xf numFmtId="0" fontId="65" fillId="20" borderId="71" applyNumberFormat="0" applyAlignment="0" applyProtection="0">
      <alignment vertical="center"/>
    </xf>
    <xf numFmtId="0" fontId="65" fillId="20" borderId="71" applyNumberFormat="0" applyAlignment="0" applyProtection="0">
      <alignment vertical="center"/>
    </xf>
    <xf numFmtId="0" fontId="65" fillId="20" borderId="71" applyNumberFormat="0" applyAlignment="0" applyProtection="0">
      <alignment vertical="center"/>
    </xf>
    <xf numFmtId="0" fontId="65" fillId="20" borderId="71" applyNumberFormat="0" applyAlignment="0" applyProtection="0">
      <alignment vertical="center"/>
    </xf>
    <xf numFmtId="0" fontId="65" fillId="20" borderId="71" applyNumberFormat="0" applyAlignment="0" applyProtection="0">
      <alignment vertical="center"/>
    </xf>
    <xf numFmtId="0" fontId="65" fillId="20" borderId="71" applyNumberFormat="0" applyAlignment="0" applyProtection="0">
      <alignment vertical="center"/>
    </xf>
    <xf numFmtId="0" fontId="65" fillId="20" borderId="71" applyNumberFormat="0" applyAlignment="0" applyProtection="0">
      <alignment vertic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" fillId="0" borderId="2" applyFill="0" applyProtection="0">
      <alignment horizontal="center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1" fontId="25" fillId="0" borderId="15">
      <alignment vertical="center"/>
      <protection locked="0"/>
    </xf>
    <xf numFmtId="0" fontId="100" fillId="0" borderId="0"/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197" fontId="25" fillId="0" borderId="15">
      <alignment vertical="center"/>
      <protection locked="0"/>
    </xf>
    <xf numFmtId="0" fontId="2" fillId="0" borderId="0"/>
    <xf numFmtId="0" fontId="101" fillId="0" borderId="0"/>
    <xf numFmtId="43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0" fontId="104" fillId="24" borderId="75" applyNumberFormat="0" applyFont="0" applyAlignment="0" applyProtection="0">
      <alignment vertical="center"/>
    </xf>
    <xf numFmtId="0" fontId="104" fillId="24" borderId="75" applyNumberFormat="0" applyFont="0" applyAlignment="0" applyProtection="0">
      <alignment vertical="center"/>
    </xf>
    <xf numFmtId="0" fontId="104" fillId="24" borderId="75" applyNumberFormat="0" applyFont="0" applyAlignment="0" applyProtection="0">
      <alignment vertical="center"/>
    </xf>
    <xf numFmtId="0" fontId="104" fillId="24" borderId="75" applyNumberFormat="0" applyFont="0" applyAlignment="0" applyProtection="0">
      <alignment vertical="center"/>
    </xf>
    <xf numFmtId="0" fontId="104" fillId="24" borderId="75" applyNumberFormat="0" applyFont="0" applyAlignment="0" applyProtection="0">
      <alignment vertical="center"/>
    </xf>
    <xf numFmtId="0" fontId="104" fillId="24" borderId="75" applyNumberFormat="0" applyFont="0" applyAlignment="0" applyProtection="0">
      <alignment vertical="center"/>
    </xf>
    <xf numFmtId="0" fontId="104" fillId="24" borderId="75" applyNumberFormat="0" applyFont="0" applyAlignment="0" applyProtection="0">
      <alignment vertical="center"/>
    </xf>
    <xf numFmtId="0" fontId="104" fillId="24" borderId="75" applyNumberFormat="0" applyFont="0" applyAlignment="0" applyProtection="0">
      <alignment vertical="center"/>
    </xf>
    <xf numFmtId="0" fontId="104" fillId="24" borderId="75" applyNumberFormat="0" applyFont="0" applyAlignment="0" applyProtection="0">
      <alignment vertical="center"/>
    </xf>
    <xf numFmtId="0" fontId="104" fillId="24" borderId="75" applyNumberFormat="0" applyFont="0" applyAlignment="0" applyProtection="0">
      <alignment vertical="center"/>
    </xf>
    <xf numFmtId="0" fontId="104" fillId="24" borderId="75" applyNumberFormat="0" applyFont="0" applyAlignment="0" applyProtection="0">
      <alignment vertical="center"/>
    </xf>
    <xf numFmtId="0" fontId="104" fillId="24" borderId="75" applyNumberFormat="0" applyFont="0" applyAlignment="0" applyProtection="0">
      <alignment vertical="center"/>
    </xf>
    <xf numFmtId="0" fontId="104" fillId="24" borderId="75" applyNumberFormat="0" applyFont="0" applyAlignment="0" applyProtection="0">
      <alignment vertical="center"/>
    </xf>
    <xf numFmtId="0" fontId="104" fillId="24" borderId="75" applyNumberFormat="0" applyFont="0" applyAlignment="0" applyProtection="0">
      <alignment vertical="center"/>
    </xf>
    <xf numFmtId="0" fontId="104" fillId="24" borderId="75" applyNumberFormat="0" applyFont="0" applyAlignment="0" applyProtection="0">
      <alignment vertical="center"/>
    </xf>
    <xf numFmtId="0" fontId="104" fillId="24" borderId="75" applyNumberFormat="0" applyFont="0" applyAlignment="0" applyProtection="0">
      <alignment vertical="center"/>
    </xf>
    <xf numFmtId="0" fontId="104" fillId="24" borderId="75" applyNumberFormat="0" applyFont="0" applyAlignment="0" applyProtection="0">
      <alignment vertical="center"/>
    </xf>
    <xf numFmtId="0" fontId="104" fillId="24" borderId="75" applyNumberFormat="0" applyFont="0" applyAlignment="0" applyProtection="0">
      <alignment vertical="center"/>
    </xf>
    <xf numFmtId="0" fontId="104" fillId="24" borderId="75" applyNumberFormat="0" applyFont="0" applyAlignment="0" applyProtection="0">
      <alignment vertical="center"/>
    </xf>
    <xf numFmtId="0" fontId="104" fillId="24" borderId="75" applyNumberFormat="0" applyFont="0" applyAlignment="0" applyProtection="0">
      <alignment vertical="center"/>
    </xf>
    <xf numFmtId="0" fontId="104" fillId="24" borderId="75" applyNumberFormat="0" applyFont="0" applyAlignment="0" applyProtection="0">
      <alignment vertical="center"/>
    </xf>
    <xf numFmtId="0" fontId="104" fillId="24" borderId="75" applyNumberFormat="0" applyFont="0" applyAlignment="0" applyProtection="0">
      <alignment vertical="center"/>
    </xf>
    <xf numFmtId="0" fontId="104" fillId="24" borderId="75" applyNumberFormat="0" applyFont="0" applyAlignment="0" applyProtection="0">
      <alignment vertical="center"/>
    </xf>
    <xf numFmtId="0" fontId="104" fillId="24" borderId="75" applyNumberFormat="0" applyFont="0" applyAlignment="0" applyProtection="0">
      <alignment vertical="center"/>
    </xf>
    <xf numFmtId="0" fontId="104" fillId="24" borderId="75" applyNumberFormat="0" applyFont="0" applyAlignment="0" applyProtection="0">
      <alignment vertical="center"/>
    </xf>
    <xf numFmtId="38" fontId="104" fillId="0" borderId="0" applyFont="0" applyFill="0" applyBorder="0" applyAlignment="0" applyProtection="0"/>
    <xf numFmtId="40" fontId="104" fillId="0" borderId="0" applyFont="0" applyFill="0" applyBorder="0" applyAlignment="0" applyProtection="0"/>
    <xf numFmtId="0" fontId="104" fillId="0" borderId="0" applyFont="0" applyFill="0" applyBorder="0" applyAlignment="0" applyProtection="0"/>
    <xf numFmtId="0" fontId="104" fillId="0" borderId="0" applyFont="0" applyFill="0" applyBorder="0" applyAlignment="0" applyProtection="0"/>
    <xf numFmtId="0" fontId="102" fillId="0" borderId="0"/>
  </cellStyleXfs>
  <cellXfs count="115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181" fontId="0" fillId="0" borderId="2" xfId="246" applyFont="1" applyFill="1" applyBorder="1" applyAlignment="1">
      <alignment horizontal="center" vertical="center"/>
    </xf>
    <xf numFmtId="181" fontId="0" fillId="0" borderId="3" xfId="246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08" fontId="0" fillId="0" borderId="5" xfId="0" applyNumberFormat="1" applyFont="1" applyFill="1" applyBorder="1" applyAlignment="1">
      <alignment horizontal="right" vertical="center"/>
    </xf>
    <xf numFmtId="202" fontId="0" fillId="0" borderId="6" xfId="246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2" fontId="0" fillId="0" borderId="0" xfId="246" applyNumberFormat="1" applyFont="1" applyFill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/>
    </xf>
    <xf numFmtId="0" fontId="0" fillId="0" borderId="4" xfId="0" applyNumberFormat="1" applyBorder="1"/>
    <xf numFmtId="0" fontId="0" fillId="0" borderId="0" xfId="0" applyNumberFormat="1" applyBorder="1"/>
    <xf numFmtId="208" fontId="0" fillId="0" borderId="4" xfId="0" applyNumberFormat="1" applyFont="1" applyFill="1" applyBorder="1" applyAlignment="1">
      <alignment horizontal="right" vertical="center"/>
    </xf>
    <xf numFmtId="208" fontId="0" fillId="0" borderId="0" xfId="0" applyNumberFormat="1" applyFont="1" applyFill="1" applyBorder="1" applyAlignment="1">
      <alignment horizontal="right" vertical="center"/>
    </xf>
    <xf numFmtId="202" fontId="0" fillId="0" borderId="5" xfId="0" applyNumberFormat="1" applyBorder="1"/>
    <xf numFmtId="202" fontId="0" fillId="0" borderId="0" xfId="0" applyNumberFormat="1" applyBorder="1"/>
    <xf numFmtId="0" fontId="5" fillId="0" borderId="2" xfId="0" applyNumberFormat="1" applyFont="1" applyBorder="1" applyAlignment="1">
      <alignment horizontal="center"/>
    </xf>
    <xf numFmtId="202" fontId="0" fillId="0" borderId="7" xfId="0" applyNumberFormat="1" applyBorder="1"/>
    <xf numFmtId="202" fontId="0" fillId="0" borderId="3" xfId="0" applyNumberFormat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90" fontId="0" fillId="0" borderId="5" xfId="0" applyNumberFormat="1" applyFont="1" applyBorder="1" applyAlignment="1">
      <alignment horizontal="right" vertical="center"/>
    </xf>
    <xf numFmtId="209" fontId="0" fillId="0" borderId="5" xfId="0" applyNumberFormat="1" applyFont="1" applyBorder="1" applyAlignment="1">
      <alignment horizontal="right" vertical="center"/>
    </xf>
    <xf numFmtId="202" fontId="0" fillId="0" borderId="6" xfId="0" applyNumberFormat="1" applyFont="1" applyBorder="1" applyAlignment="1">
      <alignment horizontal="right" vertical="center"/>
    </xf>
    <xf numFmtId="202" fontId="0" fillId="0" borderId="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202" fontId="0" fillId="0" borderId="0" xfId="0" applyNumberFormat="1" applyFont="1" applyFill="1" applyBorder="1" applyAlignment="1">
      <alignment horizontal="right" vertical="center"/>
    </xf>
    <xf numFmtId="209" fontId="0" fillId="0" borderId="4" xfId="0" applyNumberFormat="1" applyFont="1" applyBorder="1" applyAlignment="1">
      <alignment horizontal="right" vertical="center"/>
    </xf>
    <xf numFmtId="202" fontId="0" fillId="0" borderId="0" xfId="0" applyNumberFormat="1" applyBorder="1" applyAlignment="1">
      <alignment horizontal="right"/>
    </xf>
    <xf numFmtId="209" fontId="0" fillId="0" borderId="4" xfId="0" applyNumberFormat="1" applyBorder="1"/>
    <xf numFmtId="202" fontId="0" fillId="0" borderId="0" xfId="650" applyNumberFormat="1" applyFont="1" applyFill="1" applyBorder="1" applyAlignment="1">
      <alignment horizontal="right" vertical="center"/>
    </xf>
    <xf numFmtId="209" fontId="0" fillId="0" borderId="7" xfId="0" applyNumberFormat="1" applyFont="1" applyBorder="1" applyAlignment="1">
      <alignment horizontal="right" vertical="center"/>
    </xf>
    <xf numFmtId="202" fontId="0" fillId="0" borderId="3" xfId="65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90" fontId="0" fillId="0" borderId="4" xfId="0" applyNumberFormat="1" applyFont="1" applyBorder="1" applyAlignment="1">
      <alignment horizontal="right" vertical="center"/>
    </xf>
    <xf numFmtId="0" fontId="0" fillId="0" borderId="5" xfId="0" applyNumberFormat="1" applyBorder="1"/>
    <xf numFmtId="0" fontId="0" fillId="0" borderId="7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Alignment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0" xfId="0" applyFont="1" applyBorder="1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208" fontId="0" fillId="0" borderId="6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 wrapText="1"/>
    </xf>
    <xf numFmtId="202" fontId="0" fillId="0" borderId="0" xfId="0" applyNumberFormat="1" applyBorder="1" applyAlignment="1">
      <alignment vertical="center"/>
    </xf>
    <xf numFmtId="190" fontId="0" fillId="0" borderId="2" xfId="0" applyNumberFormat="1" applyFont="1" applyBorder="1" applyAlignment="1">
      <alignment horizontal="right" vertical="center"/>
    </xf>
    <xf numFmtId="202" fontId="0" fillId="0" borderId="3" xfId="0" applyNumberFormat="1" applyBorder="1" applyAlignment="1">
      <alignment vertical="center"/>
    </xf>
    <xf numFmtId="190" fontId="0" fillId="0" borderId="5" xfId="4994" applyNumberFormat="1" applyFont="1" applyBorder="1" applyAlignment="1">
      <alignment horizontal="right" vertical="center"/>
    </xf>
    <xf numFmtId="190" fontId="0" fillId="0" borderId="5" xfId="4994" applyNumberFormat="1" applyFont="1" applyBorder="1" applyAlignment="1">
      <alignment horizontal="right" vertical="center" wrapText="1"/>
    </xf>
    <xf numFmtId="202" fontId="0" fillId="0" borderId="6" xfId="246" applyNumberFormat="1" applyFont="1" applyFill="1" applyBorder="1" applyAlignment="1">
      <alignment horizontal="right" vertical="center" wrapText="1"/>
    </xf>
    <xf numFmtId="204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5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202" fontId="0" fillId="0" borderId="6" xfId="0" applyNumberFormat="1" applyBorder="1" applyAlignment="1">
      <alignment wrapText="1"/>
    </xf>
    <xf numFmtId="0" fontId="5" fillId="0" borderId="6" xfId="0" applyNumberFormat="1" applyFont="1" applyBorder="1" applyAlignment="1">
      <alignment horizontal="center" vertical="center"/>
    </xf>
    <xf numFmtId="184" fontId="0" fillId="0" borderId="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202" fontId="0" fillId="0" borderId="0" xfId="0" applyNumberFormat="1" applyBorder="1" applyAlignment="1">
      <alignment wrapText="1"/>
    </xf>
    <xf numFmtId="184" fontId="0" fillId="0" borderId="4" xfId="0" applyNumberFormat="1" applyBorder="1"/>
    <xf numFmtId="184" fontId="0" fillId="0" borderId="11" xfId="0" applyNumberFormat="1" applyBorder="1"/>
    <xf numFmtId="202" fontId="0" fillId="0" borderId="12" xfId="0" applyNumberFormat="1" applyBorder="1"/>
    <xf numFmtId="190" fontId="0" fillId="0" borderId="5" xfId="0" applyNumberFormat="1" applyFont="1" applyFill="1" applyBorder="1" applyAlignment="1">
      <alignment horizontal="right" vertical="center"/>
    </xf>
    <xf numFmtId="208" fontId="0" fillId="0" borderId="6" xfId="0" applyNumberFormat="1" applyFont="1" applyFill="1" applyBorder="1" applyAlignment="1">
      <alignment horizontal="right" vertical="center"/>
    </xf>
    <xf numFmtId="0" fontId="0" fillId="0" borderId="4" xfId="0" applyBorder="1"/>
    <xf numFmtId="0" fontId="0" fillId="0" borderId="6" xfId="0" applyBorder="1"/>
    <xf numFmtId="0" fontId="5" fillId="0" borderId="0" xfId="0" applyNumberFormat="1" applyFont="1" applyBorder="1" applyAlignment="1">
      <alignment horizontal="center" vertical="center"/>
    </xf>
    <xf numFmtId="0" fontId="0" fillId="2" borderId="7" xfId="0" applyFont="1" applyFill="1" applyBorder="1" applyAlignment="1">
      <alignment horizontal="right" vertical="center"/>
    </xf>
    <xf numFmtId="202" fontId="0" fillId="2" borderId="13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02" fontId="0" fillId="0" borderId="5" xfId="0" applyNumberFormat="1" applyBorder="1" applyAlignment="1">
      <alignment horizontal="right" vertical="center"/>
    </xf>
    <xf numFmtId="202" fontId="0" fillId="0" borderId="6" xfId="0" applyNumberFormat="1" applyBorder="1" applyAlignment="1">
      <alignment horizontal="right" vertical="center"/>
    </xf>
    <xf numFmtId="209" fontId="0" fillId="0" borderId="5" xfId="0" applyNumberFormat="1" applyBorder="1" applyAlignment="1">
      <alignment horizontal="right" vertical="center"/>
    </xf>
    <xf numFmtId="202" fontId="0" fillId="0" borderId="0" xfId="0" applyNumberFormat="1"/>
    <xf numFmtId="209" fontId="104" fillId="0" borderId="5" xfId="720" applyNumberFormat="1" applyBorder="1"/>
    <xf numFmtId="202" fontId="104" fillId="0" borderId="0" xfId="720" applyNumberFormat="1" applyBorder="1"/>
    <xf numFmtId="0" fontId="0" fillId="0" borderId="5" xfId="0" applyBorder="1"/>
    <xf numFmtId="202" fontId="0" fillId="0" borderId="6" xfId="0" applyNumberFormat="1" applyBorder="1"/>
    <xf numFmtId="0" fontId="0" fillId="0" borderId="5" xfId="0" applyBorder="1" applyAlignment="1">
      <alignment horizontal="right" vertical="center"/>
    </xf>
    <xf numFmtId="209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2" xfId="0" applyNumberFormat="1" applyBorder="1"/>
    <xf numFmtId="0" fontId="0" fillId="0" borderId="7" xfId="0" applyBorder="1" applyAlignment="1">
      <alignment horizontal="right" vertical="center"/>
    </xf>
    <xf numFmtId="192" fontId="0" fillId="0" borderId="13" xfId="19" applyNumberFormat="1" applyFont="1" applyBorder="1" applyAlignment="1">
      <alignment horizontal="right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0" fillId="0" borderId="6" xfId="0" applyBorder="1" applyAlignment="1">
      <alignment horizontal="right" vertical="center"/>
    </xf>
    <xf numFmtId="202" fontId="0" fillId="0" borderId="17" xfId="246" applyNumberFormat="1" applyFont="1" applyFill="1" applyBorder="1" applyAlignment="1">
      <alignment horizontal="right" vertical="center"/>
    </xf>
    <xf numFmtId="202" fontId="0" fillId="0" borderId="18" xfId="246" applyNumberFormat="1" applyFont="1" applyFill="1" applyBorder="1" applyAlignment="1">
      <alignment horizontal="right" vertical="center"/>
    </xf>
    <xf numFmtId="202" fontId="0" fillId="0" borderId="19" xfId="246" applyNumberFormat="1" applyFont="1" applyFill="1" applyBorder="1" applyAlignment="1">
      <alignment horizontal="right" vertical="center"/>
    </xf>
    <xf numFmtId="202" fontId="0" fillId="0" borderId="20" xfId="246" applyNumberFormat="1" applyFont="1" applyFill="1" applyBorder="1" applyAlignment="1">
      <alignment horizontal="right" vertical="center"/>
    </xf>
    <xf numFmtId="202" fontId="0" fillId="0" borderId="4" xfId="0" applyNumberFormat="1" applyBorder="1"/>
    <xf numFmtId="202" fontId="104" fillId="0" borderId="5" xfId="712" applyNumberFormat="1" applyBorder="1"/>
    <xf numFmtId="0" fontId="104" fillId="0" borderId="6" xfId="712" applyBorder="1" applyAlignment="1">
      <alignment horizontal="right" vertical="center"/>
    </xf>
    <xf numFmtId="202" fontId="0" fillId="0" borderId="2" xfId="0" applyNumberFormat="1" applyBorder="1"/>
    <xf numFmtId="202" fontId="0" fillId="0" borderId="7" xfId="0" applyNumberForma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209" fontId="0" fillId="0" borderId="21" xfId="0" applyNumberFormat="1" applyBorder="1"/>
    <xf numFmtId="202" fontId="0" fillId="0" borderId="20" xfId="0" applyNumberFormat="1" applyBorder="1" applyAlignment="1">
      <alignment horizontal="right" vertical="center"/>
    </xf>
    <xf numFmtId="202" fontId="0" fillId="0" borderId="21" xfId="0" applyNumberFormat="1" applyBorder="1"/>
    <xf numFmtId="209" fontId="104" fillId="0" borderId="21" xfId="49" applyNumberFormat="1" applyBorder="1"/>
    <xf numFmtId="202" fontId="104" fillId="0" borderId="20" xfId="49" applyNumberFormat="1" applyBorder="1" applyAlignment="1">
      <alignment horizontal="right"/>
    </xf>
    <xf numFmtId="202" fontId="0" fillId="0" borderId="20" xfId="0" applyNumberFormat="1" applyBorder="1" applyAlignment="1">
      <alignment horizontal="right"/>
    </xf>
    <xf numFmtId="0" fontId="0" fillId="0" borderId="20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209" fontId="0" fillId="0" borderId="22" xfId="0" applyNumberFormat="1" applyBorder="1"/>
    <xf numFmtId="202" fontId="0" fillId="0" borderId="22" xfId="0" applyNumberFormat="1" applyBorder="1"/>
    <xf numFmtId="209" fontId="0" fillId="0" borderId="22" xfId="0" applyNumberForma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209" fontId="0" fillId="0" borderId="5" xfId="0" applyNumberFormat="1" applyBorder="1"/>
    <xf numFmtId="202" fontId="0" fillId="0" borderId="24" xfId="0" applyNumberFormat="1" applyBorder="1"/>
    <xf numFmtId="209" fontId="0" fillId="0" borderId="25" xfId="0" applyNumberFormat="1" applyBorder="1"/>
    <xf numFmtId="0" fontId="0" fillId="0" borderId="20" xfId="0" applyBorder="1" applyAlignment="1">
      <alignment horizontal="center" vertical="center"/>
    </xf>
    <xf numFmtId="206" fontId="0" fillId="0" borderId="5" xfId="0" applyNumberFormat="1" applyBorder="1" applyAlignment="1">
      <alignment horizontal="center" vertical="center"/>
    </xf>
    <xf numFmtId="202" fontId="0" fillId="0" borderId="20" xfId="0" applyNumberFormat="1" applyBorder="1"/>
    <xf numFmtId="202" fontId="0" fillId="0" borderId="0" xfId="0" applyNumberFormat="1" applyBorder="1" applyAlignment="1">
      <alignment horizontal="right" vertical="center"/>
    </xf>
    <xf numFmtId="202" fontId="0" fillId="0" borderId="23" xfId="0" applyNumberFormat="1" applyBorder="1"/>
    <xf numFmtId="0" fontId="0" fillId="0" borderId="7" xfId="0" applyBorder="1" applyAlignment="1">
      <alignment horizontal="center" vertical="center"/>
    </xf>
    <xf numFmtId="209" fontId="104" fillId="0" borderId="21" xfId="732" applyNumberFormat="1" applyBorder="1"/>
    <xf numFmtId="202" fontId="104" fillId="0" borderId="20" xfId="732" applyNumberFormat="1" applyBorder="1" applyAlignment="1"/>
    <xf numFmtId="202" fontId="0" fillId="0" borderId="20" xfId="0" applyNumberFormat="1" applyBorder="1" applyAlignment="1"/>
    <xf numFmtId="209" fontId="0" fillId="0" borderId="26" xfId="0" applyNumberFormat="1" applyBorder="1"/>
    <xf numFmtId="208" fontId="0" fillId="0" borderId="2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209" fontId="0" fillId="0" borderId="7" xfId="0" applyNumberFormat="1" applyBorder="1"/>
    <xf numFmtId="202" fontId="0" fillId="0" borderId="7" xfId="246" applyNumberFormat="1" applyFont="1" applyFill="1" applyBorder="1" applyAlignment="1">
      <alignment horizontal="right" vertical="center"/>
    </xf>
    <xf numFmtId="209" fontId="0" fillId="0" borderId="27" xfId="0" applyNumberForma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202" fontId="0" fillId="0" borderId="23" xfId="0" applyNumberForma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0" borderId="0" xfId="0" applyFont="1" applyBorder="1" applyAlignment="1">
      <alignment horizontal="right" vertical="center"/>
    </xf>
    <xf numFmtId="202" fontId="0" fillId="0" borderId="6" xfId="0" applyNumberFormat="1" applyFill="1" applyBorder="1"/>
    <xf numFmtId="0" fontId="5" fillId="0" borderId="0" xfId="0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0" fillId="0" borderId="0" xfId="3506" applyFont="1" applyFill="1" applyAlignment="1">
      <alignment horizontal="center" vertical="center"/>
    </xf>
    <xf numFmtId="0" fontId="0" fillId="0" borderId="0" xfId="3506" applyFont="1" applyFill="1">
      <alignment vertical="center"/>
    </xf>
    <xf numFmtId="0" fontId="3" fillId="0" borderId="0" xfId="3506" applyFont="1" applyFill="1" applyBorder="1" applyAlignment="1">
      <alignment horizontal="center" vertical="center"/>
    </xf>
    <xf numFmtId="0" fontId="0" fillId="0" borderId="15" xfId="3506" applyFont="1" applyFill="1" applyBorder="1" applyAlignment="1">
      <alignment horizontal="center" vertical="center" wrapText="1"/>
    </xf>
    <xf numFmtId="0" fontId="0" fillId="0" borderId="16" xfId="3506" applyFont="1" applyFill="1" applyBorder="1" applyAlignment="1">
      <alignment horizontal="center" vertical="center" wrapText="1"/>
    </xf>
    <xf numFmtId="202" fontId="0" fillId="0" borderId="6" xfId="3506" applyNumberFormat="1" applyFont="1" applyFill="1" applyBorder="1" applyAlignment="1" applyProtection="1">
      <alignment horizontal="right" vertical="center"/>
    </xf>
    <xf numFmtId="184" fontId="0" fillId="0" borderId="6" xfId="3506" applyNumberFormat="1" applyFont="1" applyFill="1" applyBorder="1" applyAlignment="1" applyProtection="1">
      <alignment horizontal="right" vertical="center"/>
    </xf>
    <xf numFmtId="202" fontId="0" fillId="0" borderId="10" xfId="246" applyNumberFormat="1" applyFont="1" applyFill="1" applyBorder="1" applyAlignment="1">
      <alignment horizontal="right" vertical="center"/>
    </xf>
    <xf numFmtId="202" fontId="0" fillId="0" borderId="10" xfId="3506" applyNumberFormat="1" applyFont="1" applyFill="1" applyBorder="1" applyAlignment="1" applyProtection="1">
      <alignment horizontal="right" vertical="center"/>
    </xf>
    <xf numFmtId="184" fontId="0" fillId="0" borderId="10" xfId="3506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3506" applyFont="1" applyBorder="1" applyAlignment="1">
      <alignment horizontal="right" vertical="center" wrapText="1"/>
    </xf>
    <xf numFmtId="202" fontId="15" fillId="0" borderId="0" xfId="246" applyNumberFormat="1" applyFont="1" applyFill="1" applyBorder="1" applyAlignment="1">
      <alignment horizontal="right" vertical="center"/>
    </xf>
    <xf numFmtId="0" fontId="14" fillId="0" borderId="0" xfId="3506" applyFont="1" applyAlignment="1">
      <alignment horizontal="right" vertical="center" wrapText="1"/>
    </xf>
    <xf numFmtId="0" fontId="0" fillId="0" borderId="29" xfId="3506" applyFont="1" applyFill="1" applyBorder="1" applyAlignment="1">
      <alignment horizontal="center" vertical="center" wrapText="1"/>
    </xf>
    <xf numFmtId="0" fontId="0" fillId="0" borderId="30" xfId="3506" applyFont="1" applyFill="1" applyBorder="1" applyAlignment="1" applyProtection="1">
      <alignment horizontal="center" vertical="center"/>
    </xf>
    <xf numFmtId="198" fontId="0" fillId="0" borderId="31" xfId="246" applyNumberFormat="1" applyFont="1" applyFill="1" applyBorder="1" applyAlignment="1">
      <alignment horizontal="right" vertical="center"/>
    </xf>
    <xf numFmtId="190" fontId="0" fillId="0" borderId="0" xfId="246" applyNumberFormat="1" applyFont="1" applyFill="1" applyBorder="1" applyAlignment="1">
      <alignment horizontal="right" vertical="center"/>
    </xf>
    <xf numFmtId="0" fontId="0" fillId="0" borderId="32" xfId="3506" applyFont="1" applyFill="1" applyBorder="1" applyAlignment="1" applyProtection="1">
      <alignment horizontal="center" vertical="center"/>
    </xf>
    <xf numFmtId="198" fontId="0" fillId="0" borderId="33" xfId="246" applyNumberFormat="1" applyFont="1" applyFill="1" applyBorder="1" applyAlignment="1">
      <alignment horizontal="right" vertical="center"/>
    </xf>
    <xf numFmtId="0" fontId="104" fillId="0" borderId="0" xfId="3506" applyFill="1" applyAlignment="1">
      <alignment horizontal="center" vertical="center"/>
    </xf>
    <xf numFmtId="0" fontId="104" fillId="0" borderId="0" xfId="3506" applyFill="1" applyBorder="1">
      <alignment vertical="center"/>
    </xf>
    <xf numFmtId="0" fontId="104" fillId="0" borderId="0" xfId="3506" applyFill="1">
      <alignment vertical="center"/>
    </xf>
    <xf numFmtId="0" fontId="104" fillId="0" borderId="0" xfId="3506" applyFill="1" applyBorder="1" applyAlignment="1">
      <alignment horizontal="center" vertical="center"/>
    </xf>
    <xf numFmtId="209" fontId="104" fillId="0" borderId="0" xfId="3506" applyNumberFormat="1" applyFill="1" applyAlignment="1">
      <alignment horizontal="center" vertical="center"/>
    </xf>
    <xf numFmtId="0" fontId="104" fillId="0" borderId="0" xfId="512">
      <alignment vertical="center"/>
    </xf>
    <xf numFmtId="202" fontId="104" fillId="0" borderId="0" xfId="3506" applyNumberFormat="1" applyFill="1" applyAlignment="1">
      <alignment horizontal="center" vertical="center"/>
    </xf>
    <xf numFmtId="202" fontId="104" fillId="0" borderId="0" xfId="3506" applyNumberFormat="1" applyFill="1">
      <alignment vertical="center"/>
    </xf>
    <xf numFmtId="0" fontId="5" fillId="0" borderId="34" xfId="3506" applyFont="1" applyFill="1" applyBorder="1" applyAlignment="1">
      <alignment horizontal="center" vertical="center"/>
    </xf>
    <xf numFmtId="190" fontId="0" fillId="0" borderId="35" xfId="246" applyNumberFormat="1" applyFont="1" applyFill="1" applyBorder="1" applyAlignment="1">
      <alignment horizontal="right" vertical="center"/>
    </xf>
    <xf numFmtId="184" fontId="0" fillId="0" borderId="36" xfId="3506" applyNumberFormat="1" applyFont="1" applyFill="1" applyBorder="1" applyAlignment="1" applyProtection="1">
      <alignment horizontal="right" vertical="center"/>
    </xf>
    <xf numFmtId="184" fontId="0" fillId="0" borderId="37" xfId="3506" applyNumberFormat="1" applyFont="1" applyFill="1" applyBorder="1" applyAlignment="1" applyProtection="1">
      <alignment horizontal="right" vertical="center"/>
    </xf>
    <xf numFmtId="0" fontId="0" fillId="0" borderId="0" xfId="0" applyFont="1" applyFill="1"/>
    <xf numFmtId="0" fontId="4" fillId="0" borderId="0" xfId="0" applyFont="1" applyFill="1"/>
    <xf numFmtId="198" fontId="0" fillId="0" borderId="5" xfId="246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0" borderId="0" xfId="733" applyFont="1" applyFill="1" applyBorder="1" applyAlignment="1">
      <alignment horizontal="center" vertical="center"/>
    </xf>
    <xf numFmtId="0" fontId="0" fillId="0" borderId="39" xfId="733" applyFont="1" applyFill="1" applyBorder="1" applyAlignment="1">
      <alignment horizontal="center" vertical="center"/>
    </xf>
    <xf numFmtId="0" fontId="0" fillId="0" borderId="40" xfId="733" applyFont="1" applyFill="1" applyBorder="1" applyAlignment="1">
      <alignment horizontal="center" vertical="center"/>
    </xf>
    <xf numFmtId="0" fontId="10" fillId="0" borderId="41" xfId="733" applyFont="1" applyFill="1" applyBorder="1" applyAlignment="1">
      <alignment horizontal="center" vertical="center"/>
    </xf>
    <xf numFmtId="0" fontId="10" fillId="0" borderId="40" xfId="733" applyFont="1" applyFill="1" applyBorder="1" applyAlignment="1">
      <alignment horizontal="center" vertical="center"/>
    </xf>
    <xf numFmtId="0" fontId="18" fillId="0" borderId="4" xfId="733" applyFont="1" applyFill="1" applyBorder="1" applyAlignment="1">
      <alignment vertical="center" wrapText="1"/>
    </xf>
    <xf numFmtId="0" fontId="0" fillId="0" borderId="5" xfId="733" applyNumberFormat="1" applyFont="1" applyFill="1" applyBorder="1" applyAlignment="1">
      <alignment horizontal="right"/>
    </xf>
    <xf numFmtId="0" fontId="0" fillId="0" borderId="0" xfId="733" applyNumberFormat="1" applyFont="1" applyFill="1" applyAlignment="1">
      <alignment horizontal="right"/>
    </xf>
    <xf numFmtId="0" fontId="0" fillId="0" borderId="6" xfId="733" applyNumberFormat="1" applyFont="1" applyFill="1" applyBorder="1" applyAlignment="1">
      <alignment horizontal="center" vertical="center"/>
    </xf>
    <xf numFmtId="198" fontId="0" fillId="0" borderId="0" xfId="0" applyNumberFormat="1" applyFont="1"/>
    <xf numFmtId="0" fontId="0" fillId="0" borderId="4" xfId="733" applyFont="1" applyFill="1" applyBorder="1" applyAlignment="1">
      <alignment vertical="center"/>
    </xf>
    <xf numFmtId="209" fontId="19" fillId="0" borderId="5" xfId="733" applyNumberFormat="1" applyFont="1" applyFill="1" applyBorder="1" applyAlignment="1">
      <alignment vertical="center"/>
    </xf>
    <xf numFmtId="202" fontId="19" fillId="0" borderId="5" xfId="733" applyNumberFormat="1" applyFont="1" applyFill="1" applyBorder="1" applyAlignment="1">
      <alignment vertical="center"/>
    </xf>
    <xf numFmtId="0" fontId="0" fillId="0" borderId="6" xfId="733" applyFont="1" applyFill="1" applyBorder="1" applyAlignment="1">
      <alignment horizontal="center" vertical="center"/>
    </xf>
    <xf numFmtId="209" fontId="0" fillId="0" borderId="0" xfId="0" applyNumberFormat="1" applyFont="1"/>
    <xf numFmtId="0" fontId="0" fillId="0" borderId="4" xfId="733" applyFont="1" applyFill="1" applyBorder="1" applyAlignment="1">
      <alignment vertical="center" wrapText="1"/>
    </xf>
    <xf numFmtId="0" fontId="0" fillId="0" borderId="4" xfId="733" applyFont="1" applyFill="1" applyBorder="1" applyAlignment="1">
      <alignment horizontal="left" vertical="center" wrapText="1"/>
    </xf>
    <xf numFmtId="198" fontId="0" fillId="0" borderId="5" xfId="733" applyNumberFormat="1" applyFont="1" applyFill="1" applyBorder="1" applyAlignment="1">
      <alignment horizontal="right" vertical="center"/>
    </xf>
    <xf numFmtId="208" fontId="0" fillId="0" borderId="5" xfId="733" applyNumberFormat="1" applyFont="1" applyFill="1" applyBorder="1" applyAlignment="1">
      <alignment horizontal="right" vertical="center"/>
    </xf>
    <xf numFmtId="190" fontId="0" fillId="0" borderId="5" xfId="733" applyNumberFormat="1" applyFont="1" applyFill="1" applyBorder="1" applyAlignment="1">
      <alignment horizontal="right" vertical="center"/>
    </xf>
    <xf numFmtId="202" fontId="0" fillId="0" borderId="0" xfId="733" applyNumberFormat="1" applyFont="1" applyFill="1" applyAlignment="1">
      <alignment horizontal="right" vertical="center"/>
    </xf>
    <xf numFmtId="202" fontId="0" fillId="0" borderId="0" xfId="733" applyNumberFormat="1" applyFont="1" applyFill="1" applyAlignment="1">
      <alignment horizontal="right" vertical="center"/>
    </xf>
    <xf numFmtId="0" fontId="0" fillId="0" borderId="6" xfId="733" applyNumberFormat="1" applyFont="1" applyFill="1" applyBorder="1" applyAlignment="1">
      <alignment horizontal="right" vertical="center"/>
    </xf>
    <xf numFmtId="0" fontId="0" fillId="0" borderId="8" xfId="733" applyFont="1" applyFill="1" applyBorder="1" applyAlignment="1">
      <alignment vertical="center" wrapText="1"/>
    </xf>
    <xf numFmtId="0" fontId="3" fillId="0" borderId="0" xfId="844" applyFont="1" applyBorder="1" applyAlignment="1">
      <alignment horizontal="center" vertical="center"/>
    </xf>
    <xf numFmtId="0" fontId="0" fillId="0" borderId="39" xfId="844" applyFont="1" applyBorder="1" applyAlignment="1">
      <alignment horizontal="center" vertical="center"/>
    </xf>
    <xf numFmtId="0" fontId="0" fillId="0" borderId="40" xfId="844" applyFont="1" applyBorder="1" applyAlignment="1">
      <alignment horizontal="center" vertical="center"/>
    </xf>
    <xf numFmtId="0" fontId="10" fillId="0" borderId="41" xfId="844" applyFont="1" applyBorder="1" applyAlignment="1">
      <alignment horizontal="center" vertical="center"/>
    </xf>
    <xf numFmtId="0" fontId="10" fillId="0" borderId="40" xfId="844" applyFont="1" applyBorder="1" applyAlignment="1">
      <alignment horizontal="center" vertical="center"/>
    </xf>
    <xf numFmtId="0" fontId="18" fillId="0" borderId="4" xfId="844" applyFont="1" applyFill="1" applyBorder="1" applyAlignment="1">
      <alignment vertical="center" wrapText="1"/>
    </xf>
    <xf numFmtId="190" fontId="0" fillId="0" borderId="24" xfId="844" applyNumberFormat="1" applyFont="1" applyFill="1" applyBorder="1" applyAlignment="1">
      <alignment horizontal="right" vertical="center"/>
    </xf>
    <xf numFmtId="208" fontId="0" fillId="0" borderId="4" xfId="844" applyNumberFormat="1" applyFont="1" applyFill="1" applyBorder="1" applyAlignment="1">
      <alignment horizontal="right" vertical="center"/>
    </xf>
    <xf numFmtId="0" fontId="0" fillId="0" borderId="6" xfId="844" applyFont="1" applyFill="1" applyBorder="1" applyAlignment="1">
      <alignment horizontal="center" vertical="center"/>
    </xf>
    <xf numFmtId="0" fontId="0" fillId="0" borderId="4" xfId="844" applyFont="1" applyFill="1" applyBorder="1" applyAlignment="1">
      <alignment vertical="center"/>
    </xf>
    <xf numFmtId="209" fontId="104" fillId="0" borderId="25" xfId="844" applyNumberFormat="1" applyBorder="1"/>
    <xf numFmtId="0" fontId="0" fillId="0" borderId="4" xfId="844" applyFont="1" applyFill="1" applyBorder="1" applyAlignment="1">
      <alignment vertical="center" wrapText="1"/>
    </xf>
    <xf numFmtId="0" fontId="0" fillId="0" borderId="4" xfId="844" applyFont="1" applyFill="1" applyBorder="1" applyAlignment="1">
      <alignment horizontal="left" vertical="center" wrapText="1"/>
    </xf>
    <xf numFmtId="202" fontId="0" fillId="0" borderId="4" xfId="844" applyNumberFormat="1" applyFont="1" applyFill="1" applyBorder="1" applyAlignment="1">
      <alignment horizontal="right" vertical="center"/>
    </xf>
    <xf numFmtId="209" fontId="104" fillId="0" borderId="0" xfId="844" applyNumberFormat="1"/>
    <xf numFmtId="202" fontId="0" fillId="0" borderId="5" xfId="844" applyNumberFormat="1" applyFont="1" applyFill="1" applyBorder="1" applyAlignment="1">
      <alignment horizontal="right" vertical="center"/>
    </xf>
    <xf numFmtId="0" fontId="18" fillId="0" borderId="4" xfId="844" applyFont="1" applyFill="1" applyBorder="1" applyAlignment="1">
      <alignment vertical="center"/>
    </xf>
    <xf numFmtId="0" fontId="0" fillId="0" borderId="5" xfId="844" applyFont="1" applyBorder="1" applyAlignment="1">
      <alignment horizontal="right"/>
    </xf>
    <xf numFmtId="0" fontId="0" fillId="0" borderId="6" xfId="844" applyFont="1" applyBorder="1"/>
    <xf numFmtId="0" fontId="0" fillId="0" borderId="4" xfId="844" applyFont="1" applyBorder="1" applyAlignment="1">
      <alignment vertical="center"/>
    </xf>
    <xf numFmtId="202" fontId="20" fillId="0" borderId="6" xfId="844" applyNumberFormat="1" applyFont="1" applyFill="1" applyBorder="1" applyAlignment="1">
      <alignment horizontal="right" vertical="center"/>
    </xf>
    <xf numFmtId="0" fontId="0" fillId="0" borderId="4" xfId="844" applyFont="1" applyBorder="1" applyAlignment="1">
      <alignment vertical="center" wrapText="1"/>
    </xf>
    <xf numFmtId="0" fontId="0" fillId="0" borderId="4" xfId="844" applyFont="1" applyBorder="1" applyAlignment="1">
      <alignment horizontal="left" vertical="center" wrapText="1"/>
    </xf>
    <xf numFmtId="0" fontId="0" fillId="0" borderId="8" xfId="844" applyFont="1" applyFill="1" applyBorder="1" applyAlignment="1">
      <alignment vertical="center" wrapText="1"/>
    </xf>
    <xf numFmtId="209" fontId="104" fillId="0" borderId="42" xfId="844" applyNumberFormat="1" applyBorder="1"/>
    <xf numFmtId="202" fontId="0" fillId="0" borderId="9" xfId="844" applyNumberFormat="1" applyFont="1" applyFill="1" applyBorder="1" applyAlignment="1">
      <alignment horizontal="right" vertical="center"/>
    </xf>
    <xf numFmtId="0" fontId="0" fillId="0" borderId="10" xfId="844" applyFont="1" applyFill="1" applyBorder="1" applyAlignment="1">
      <alignment horizontal="center" vertical="center"/>
    </xf>
    <xf numFmtId="0" fontId="4" fillId="0" borderId="0" xfId="0" applyFont="1" applyFill="1"/>
    <xf numFmtId="0" fontId="0" fillId="0" borderId="0" xfId="0" applyFont="1" applyFill="1"/>
    <xf numFmtId="0" fontId="3" fillId="0" borderId="0" xfId="707" applyFont="1" applyFill="1" applyBorder="1" applyAlignment="1">
      <alignment horizontal="center" vertical="center"/>
    </xf>
    <xf numFmtId="0" fontId="0" fillId="0" borderId="0" xfId="707" applyFont="1" applyFill="1" applyBorder="1" applyAlignment="1"/>
    <xf numFmtId="0" fontId="0" fillId="0" borderId="39" xfId="707" applyFont="1" applyFill="1" applyBorder="1" applyAlignment="1">
      <alignment horizontal="center" vertical="center"/>
    </xf>
    <xf numFmtId="0" fontId="0" fillId="0" borderId="40" xfId="707" applyFont="1" applyFill="1" applyBorder="1" applyAlignment="1">
      <alignment horizontal="center" vertical="center"/>
    </xf>
    <xf numFmtId="0" fontId="10" fillId="0" borderId="41" xfId="707" applyFont="1" applyFill="1" applyBorder="1" applyAlignment="1">
      <alignment horizontal="center" vertical="center"/>
    </xf>
    <xf numFmtId="0" fontId="10" fillId="0" borderId="40" xfId="707" applyFont="1" applyFill="1" applyBorder="1" applyAlignment="1">
      <alignment horizontal="center" vertical="center"/>
    </xf>
    <xf numFmtId="0" fontId="18" fillId="0" borderId="4" xfId="707" applyFont="1" applyFill="1" applyBorder="1" applyAlignment="1">
      <alignment vertical="center"/>
    </xf>
    <xf numFmtId="0" fontId="0" fillId="0" borderId="6" xfId="707" applyFont="1" applyFill="1" applyBorder="1" applyAlignment="1">
      <alignment horizontal="right"/>
    </xf>
    <xf numFmtId="0" fontId="0" fillId="0" borderId="5" xfId="707" applyFont="1" applyFill="1" applyBorder="1" applyAlignment="1">
      <alignment horizontal="right"/>
    </xf>
    <xf numFmtId="0" fontId="0" fillId="0" borderId="6" xfId="707" applyFont="1" applyFill="1" applyBorder="1"/>
    <xf numFmtId="0" fontId="0" fillId="0" borderId="0" xfId="707" applyFont="1" applyFill="1" applyBorder="1" applyAlignment="1">
      <alignment vertical="center"/>
    </xf>
    <xf numFmtId="209" fontId="0" fillId="0" borderId="5" xfId="707" applyNumberFormat="1" applyFont="1" applyFill="1" applyBorder="1"/>
    <xf numFmtId="202" fontId="0" fillId="0" borderId="4" xfId="707" applyNumberFormat="1" applyFont="1" applyFill="1" applyBorder="1" applyAlignment="1">
      <alignment horizontal="right" vertical="center"/>
    </xf>
    <xf numFmtId="0" fontId="0" fillId="0" borderId="0" xfId="707" applyFont="1" applyFill="1" applyBorder="1" applyAlignment="1">
      <alignment horizontal="center" vertical="center"/>
    </xf>
    <xf numFmtId="198" fontId="0" fillId="0" borderId="0" xfId="0" applyNumberFormat="1" applyFont="1" applyFill="1"/>
    <xf numFmtId="0" fontId="0" fillId="0" borderId="0" xfId="707" applyFont="1" applyFill="1" applyBorder="1" applyAlignment="1">
      <alignment vertical="center" wrapText="1"/>
    </xf>
    <xf numFmtId="0" fontId="0" fillId="0" borderId="0" xfId="707" applyFont="1" applyFill="1" applyBorder="1" applyAlignment="1">
      <alignment horizontal="left" vertical="center" wrapText="1"/>
    </xf>
    <xf numFmtId="209" fontId="0" fillId="0" borderId="5" xfId="707" applyNumberFormat="1" applyFont="1" applyFill="1" applyBorder="1"/>
    <xf numFmtId="202" fontId="0" fillId="0" borderId="4" xfId="707" applyNumberFormat="1" applyFont="1" applyFill="1" applyBorder="1" applyAlignment="1">
      <alignment horizontal="right" vertical="center"/>
    </xf>
    <xf numFmtId="0" fontId="0" fillId="0" borderId="0" xfId="707" applyFont="1" applyFill="1" applyAlignment="1">
      <alignment horizontal="right"/>
    </xf>
    <xf numFmtId="0" fontId="0" fillId="0" borderId="6" xfId="707" applyFont="1" applyFill="1" applyBorder="1" applyAlignment="1">
      <alignment horizontal="center" vertical="center"/>
    </xf>
    <xf numFmtId="0" fontId="3" fillId="0" borderId="0" xfId="701" applyFont="1" applyFill="1" applyBorder="1" applyAlignment="1">
      <alignment horizontal="center" vertical="center"/>
    </xf>
    <xf numFmtId="0" fontId="0" fillId="0" borderId="0" xfId="701" applyFont="1" applyFill="1" applyBorder="1" applyAlignment="1"/>
    <xf numFmtId="0" fontId="0" fillId="0" borderId="39" xfId="701" applyFont="1" applyFill="1" applyBorder="1" applyAlignment="1">
      <alignment horizontal="center" vertical="center"/>
    </xf>
    <xf numFmtId="0" fontId="0" fillId="0" borderId="40" xfId="701" applyFont="1" applyFill="1" applyBorder="1" applyAlignment="1">
      <alignment horizontal="center" vertical="center"/>
    </xf>
    <xf numFmtId="0" fontId="10" fillId="0" borderId="41" xfId="701" applyFont="1" applyFill="1" applyBorder="1" applyAlignment="1">
      <alignment horizontal="center" vertical="center"/>
    </xf>
    <xf numFmtId="0" fontId="10" fillId="0" borderId="40" xfId="701" applyFont="1" applyFill="1" applyBorder="1" applyAlignment="1">
      <alignment horizontal="center" vertical="center"/>
    </xf>
    <xf numFmtId="0" fontId="18" fillId="0" borderId="0" xfId="701" applyFont="1" applyFill="1" applyBorder="1" applyAlignment="1">
      <alignment vertical="center" wrapText="1"/>
    </xf>
    <xf numFmtId="0" fontId="0" fillId="0" borderId="6" xfId="701" applyFont="1" applyFill="1" applyBorder="1" applyAlignment="1">
      <alignment horizontal="right"/>
    </xf>
    <xf numFmtId="0" fontId="0" fillId="0" borderId="5" xfId="701" applyFont="1" applyFill="1" applyBorder="1" applyAlignment="1">
      <alignment horizontal="right"/>
    </xf>
    <xf numFmtId="0" fontId="0" fillId="0" borderId="6" xfId="701" applyFont="1" applyFill="1" applyBorder="1"/>
    <xf numFmtId="0" fontId="0" fillId="0" borderId="0" xfId="701" applyFont="1" applyFill="1" applyBorder="1" applyAlignment="1">
      <alignment vertical="center"/>
    </xf>
    <xf numFmtId="209" fontId="0" fillId="0" borderId="44" xfId="0" applyNumberFormat="1" applyFont="1" applyFill="1" applyBorder="1" applyAlignment="1"/>
    <xf numFmtId="0" fontId="21" fillId="0" borderId="44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701" applyFont="1" applyFill="1" applyBorder="1" applyAlignment="1">
      <alignment vertical="center" wrapText="1"/>
    </xf>
    <xf numFmtId="0" fontId="0" fillId="0" borderId="0" xfId="701" applyFont="1" applyFill="1" applyBorder="1" applyAlignment="1">
      <alignment horizontal="left" vertical="center" wrapText="1"/>
    </xf>
    <xf numFmtId="209" fontId="0" fillId="0" borderId="44" xfId="0" applyNumberFormat="1" applyFont="1" applyFill="1" applyBorder="1" applyAlignment="1"/>
    <xf numFmtId="0" fontId="21" fillId="0" borderId="44" xfId="0" applyFont="1" applyFill="1" applyBorder="1" applyAlignment="1">
      <alignment horizontal="right" vertical="center"/>
    </xf>
    <xf numFmtId="209" fontId="0" fillId="0" borderId="5" xfId="701" applyNumberFormat="1" applyFont="1" applyFill="1" applyBorder="1"/>
    <xf numFmtId="202" fontId="0" fillId="0" borderId="0" xfId="701" applyNumberFormat="1" applyFont="1" applyFill="1" applyAlignment="1">
      <alignment horizontal="right"/>
    </xf>
    <xf numFmtId="0" fontId="0" fillId="0" borderId="6" xfId="70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3310" applyFont="1" applyFill="1" applyBorder="1" applyAlignment="1">
      <alignment horizontal="center" vertical="center"/>
    </xf>
    <xf numFmtId="209" fontId="0" fillId="0" borderId="0" xfId="0" applyNumberFormat="1" applyFont="1" applyFill="1"/>
    <xf numFmtId="209" fontId="22" fillId="0" borderId="44" xfId="0" applyNumberFormat="1" applyFont="1" applyFill="1" applyBorder="1" applyAlignment="1">
      <alignment horizontal="right" vertical="center"/>
    </xf>
    <xf numFmtId="0" fontId="0" fillId="0" borderId="1" xfId="701" applyFont="1" applyFill="1" applyBorder="1" applyAlignment="1">
      <alignment vertical="center" wrapText="1"/>
    </xf>
    <xf numFmtId="208" fontId="0" fillId="0" borderId="0" xfId="0" applyNumberFormat="1" applyFont="1" applyFill="1"/>
    <xf numFmtId="0" fontId="3" fillId="0" borderId="0" xfId="1752" applyFont="1" applyFill="1" applyBorder="1" applyAlignment="1">
      <alignment horizontal="center" vertical="center"/>
    </xf>
    <xf numFmtId="0" fontId="0" fillId="0" borderId="0" xfId="1752" applyFont="1" applyFill="1" applyBorder="1" applyAlignment="1"/>
    <xf numFmtId="0" fontId="0" fillId="0" borderId="39" xfId="1752" applyFont="1" applyFill="1" applyBorder="1" applyAlignment="1">
      <alignment horizontal="center" vertical="center"/>
    </xf>
    <xf numFmtId="0" fontId="0" fillId="0" borderId="40" xfId="1752" applyFont="1" applyFill="1" applyBorder="1" applyAlignment="1">
      <alignment horizontal="center" vertical="center"/>
    </xf>
    <xf numFmtId="0" fontId="10" fillId="0" borderId="41" xfId="1752" applyFont="1" applyFill="1" applyBorder="1" applyAlignment="1">
      <alignment horizontal="center" vertical="center"/>
    </xf>
    <xf numFmtId="0" fontId="10" fillId="0" borderId="40" xfId="1752" applyFont="1" applyFill="1" applyBorder="1" applyAlignment="1">
      <alignment horizontal="center" vertical="center"/>
    </xf>
    <xf numFmtId="0" fontId="0" fillId="0" borderId="0" xfId="0" applyFont="1" applyFill="1" applyBorder="1"/>
    <xf numFmtId="0" fontId="18" fillId="0" borderId="0" xfId="1752" applyFont="1" applyFill="1" applyBorder="1" applyAlignment="1">
      <alignment vertical="center" wrapText="1"/>
    </xf>
    <xf numFmtId="209" fontId="0" fillId="0" borderId="5" xfId="1752" applyNumberFormat="1" applyFont="1" applyFill="1" applyBorder="1"/>
    <xf numFmtId="0" fontId="0" fillId="0" borderId="0" xfId="1752" applyFont="1" applyFill="1" applyAlignment="1">
      <alignment horizontal="right"/>
    </xf>
    <xf numFmtId="0" fontId="0" fillId="0" borderId="6" xfId="1752" applyFont="1" applyFill="1" applyBorder="1" applyAlignment="1">
      <alignment horizontal="center" vertical="center"/>
    </xf>
    <xf numFmtId="0" fontId="0" fillId="0" borderId="0" xfId="1752" applyFont="1" applyFill="1" applyBorder="1" applyAlignment="1">
      <alignment vertical="center"/>
    </xf>
    <xf numFmtId="202" fontId="0" fillId="0" borderId="5" xfId="1752" applyNumberFormat="1" applyFont="1" applyFill="1" applyBorder="1"/>
    <xf numFmtId="0" fontId="0" fillId="0" borderId="6" xfId="1752" applyNumberFormat="1" applyFont="1" applyFill="1" applyBorder="1" applyAlignment="1">
      <alignment horizontal="center" vertical="center"/>
    </xf>
    <xf numFmtId="0" fontId="0" fillId="0" borderId="6" xfId="3310" applyFont="1" applyFill="1" applyBorder="1" applyAlignment="1">
      <alignment horizontal="center" vertical="center"/>
    </xf>
    <xf numFmtId="0" fontId="0" fillId="0" borderId="0" xfId="1752" applyFont="1" applyFill="1" applyBorder="1" applyAlignment="1">
      <alignment vertical="center" wrapText="1"/>
    </xf>
    <xf numFmtId="0" fontId="0" fillId="0" borderId="0" xfId="1752" applyFont="1" applyFill="1" applyBorder="1" applyAlignment="1">
      <alignment horizontal="left" vertical="center" wrapText="1"/>
    </xf>
    <xf numFmtId="0" fontId="18" fillId="0" borderId="4" xfId="1752" applyFont="1" applyFill="1" applyBorder="1" applyAlignment="1">
      <alignment vertical="center"/>
    </xf>
    <xf numFmtId="0" fontId="0" fillId="0" borderId="6" xfId="1752" applyFont="1" applyFill="1" applyBorder="1" applyAlignment="1">
      <alignment horizontal="right"/>
    </xf>
    <xf numFmtId="0" fontId="0" fillId="0" borderId="5" xfId="1752" applyFont="1" applyFill="1" applyBorder="1" applyAlignment="1">
      <alignment horizontal="right"/>
    </xf>
    <xf numFmtId="0" fontId="0" fillId="0" borderId="6" xfId="1752" applyFont="1" applyFill="1" applyBorder="1"/>
    <xf numFmtId="0" fontId="0" fillId="0" borderId="0" xfId="1752" applyFont="1" applyFill="1" applyBorder="1" applyAlignment="1">
      <alignment horizontal="center" vertical="center"/>
    </xf>
    <xf numFmtId="0" fontId="0" fillId="0" borderId="0" xfId="1752" applyFont="1" applyFill="1" applyBorder="1" applyAlignment="1">
      <alignment horizontal="center" vertical="center"/>
    </xf>
    <xf numFmtId="209" fontId="0" fillId="0" borderId="5" xfId="1752" applyNumberFormat="1" applyFont="1" applyFill="1" applyBorder="1"/>
    <xf numFmtId="202" fontId="0" fillId="0" borderId="5" xfId="1752" applyNumberFormat="1" applyFont="1" applyFill="1" applyBorder="1"/>
    <xf numFmtId="0" fontId="4" fillId="0" borderId="0" xfId="0" applyFont="1" applyFill="1" applyBorder="1"/>
    <xf numFmtId="0" fontId="1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208" fontId="0" fillId="0" borderId="0" xfId="0" applyNumberFormat="1" applyFont="1"/>
    <xf numFmtId="0" fontId="23" fillId="0" borderId="0" xfId="843" applyFont="1" applyBorder="1" applyAlignment="1">
      <alignment horizontal="center" vertical="center"/>
    </xf>
    <xf numFmtId="0" fontId="0" fillId="0" borderId="39" xfId="843" applyFont="1" applyBorder="1" applyAlignment="1">
      <alignment horizontal="center" vertical="center"/>
    </xf>
    <xf numFmtId="0" fontId="0" fillId="0" borderId="40" xfId="1738" applyFont="1" applyBorder="1" applyAlignment="1">
      <alignment horizontal="center" vertical="center"/>
    </xf>
    <xf numFmtId="0" fontId="10" fillId="0" borderId="41" xfId="843" applyFont="1" applyBorder="1" applyAlignment="1">
      <alignment horizontal="center" vertical="center"/>
    </xf>
    <xf numFmtId="0" fontId="10" fillId="0" borderId="40" xfId="843" applyFont="1" applyBorder="1" applyAlignment="1">
      <alignment horizontal="center" vertical="center"/>
    </xf>
    <xf numFmtId="0" fontId="18" fillId="0" borderId="4" xfId="843" applyFont="1" applyBorder="1" applyAlignment="1">
      <alignment vertical="center"/>
    </xf>
    <xf numFmtId="0" fontId="0" fillId="0" borderId="6" xfId="843" applyFont="1" applyBorder="1"/>
    <xf numFmtId="0" fontId="0" fillId="0" borderId="5" xfId="843" applyFont="1" applyBorder="1"/>
    <xf numFmtId="0" fontId="0" fillId="0" borderId="4" xfId="843" applyFont="1" applyBorder="1" applyAlignment="1">
      <alignment vertical="center"/>
    </xf>
    <xf numFmtId="209" fontId="0" fillId="0" borderId="5" xfId="843" applyNumberFormat="1" applyFont="1" applyFill="1" applyBorder="1" applyAlignment="1">
      <alignment horizontal="right" vertical="center"/>
    </xf>
    <xf numFmtId="202" fontId="0" fillId="0" borderId="5" xfId="843" applyNumberFormat="1" applyFont="1" applyFill="1" applyBorder="1" applyAlignment="1">
      <alignment horizontal="right" vertical="center"/>
    </xf>
    <xf numFmtId="0" fontId="0" fillId="0" borderId="6" xfId="843" applyNumberFormat="1" applyFont="1" applyFill="1" applyBorder="1" applyAlignment="1">
      <alignment horizontal="center" vertical="center"/>
    </xf>
    <xf numFmtId="0" fontId="0" fillId="0" borderId="6" xfId="843" applyFont="1" applyFill="1" applyBorder="1" applyAlignment="1">
      <alignment horizontal="center" vertical="center"/>
    </xf>
    <xf numFmtId="0" fontId="0" fillId="0" borderId="4" xfId="843" applyFont="1" applyBorder="1" applyAlignment="1">
      <alignment vertical="center" wrapText="1"/>
    </xf>
    <xf numFmtId="0" fontId="0" fillId="0" borderId="4" xfId="843" applyFont="1" applyBorder="1" applyAlignment="1">
      <alignment horizontal="left" vertical="center" wrapText="1"/>
    </xf>
    <xf numFmtId="0" fontId="0" fillId="0" borderId="4" xfId="843" applyFont="1" applyFill="1" applyBorder="1" applyAlignment="1">
      <alignment vertical="center" wrapText="1"/>
    </xf>
    <xf numFmtId="0" fontId="18" fillId="0" borderId="4" xfId="843" applyFont="1" applyBorder="1" applyAlignment="1">
      <alignment vertical="center" wrapText="1"/>
    </xf>
    <xf numFmtId="0" fontId="4" fillId="0" borderId="0" xfId="0" applyFont="1" applyBorder="1"/>
    <xf numFmtId="0" fontId="1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23" fillId="0" borderId="0" xfId="1748" applyFont="1" applyBorder="1" applyAlignment="1">
      <alignment horizontal="center" vertical="center"/>
    </xf>
    <xf numFmtId="0" fontId="0" fillId="0" borderId="0" xfId="1748" applyFont="1"/>
    <xf numFmtId="0" fontId="0" fillId="0" borderId="39" xfId="1748" applyFont="1" applyBorder="1" applyAlignment="1">
      <alignment horizontal="center" vertical="center"/>
    </xf>
    <xf numFmtId="0" fontId="10" fillId="0" borderId="41" xfId="1748" applyFont="1" applyBorder="1" applyAlignment="1">
      <alignment horizontal="center" vertical="center"/>
    </xf>
    <xf numFmtId="0" fontId="10" fillId="0" borderId="40" xfId="1748" applyFont="1" applyBorder="1" applyAlignment="1">
      <alignment horizontal="center" vertical="center"/>
    </xf>
    <xf numFmtId="0" fontId="18" fillId="0" borderId="4" xfId="1748" applyFont="1" applyBorder="1" applyAlignment="1">
      <alignment vertical="center" wrapText="1"/>
    </xf>
    <xf numFmtId="198" fontId="0" fillId="0" borderId="5" xfId="1748" applyNumberFormat="1" applyFont="1" applyBorder="1" applyAlignment="1">
      <alignment horizontal="right" vertical="center"/>
    </xf>
    <xf numFmtId="208" fontId="0" fillId="0" borderId="5" xfId="1748" applyNumberFormat="1" applyFont="1" applyBorder="1" applyAlignment="1">
      <alignment horizontal="right" vertical="center"/>
    </xf>
    <xf numFmtId="0" fontId="0" fillId="0" borderId="6" xfId="1748" applyFont="1" applyFill="1" applyBorder="1" applyAlignment="1">
      <alignment horizontal="center" vertical="center"/>
    </xf>
    <xf numFmtId="0" fontId="0" fillId="0" borderId="4" xfId="1748" applyFont="1" applyBorder="1" applyAlignment="1">
      <alignment vertical="center"/>
    </xf>
    <xf numFmtId="209" fontId="0" fillId="0" borderId="5" xfId="1748" applyNumberFormat="1" applyFont="1" applyFill="1" applyBorder="1" applyAlignment="1">
      <alignment horizontal="right" vertical="center"/>
    </xf>
    <xf numFmtId="202" fontId="0" fillId="0" borderId="5" xfId="1748" applyNumberFormat="1" applyFont="1" applyFill="1" applyBorder="1" applyAlignment="1">
      <alignment horizontal="right" vertical="center"/>
    </xf>
    <xf numFmtId="0" fontId="0" fillId="0" borderId="6" xfId="1748" applyNumberFormat="1" applyFont="1" applyFill="1" applyBorder="1" applyAlignment="1">
      <alignment horizontal="center" vertical="center"/>
    </xf>
    <xf numFmtId="0" fontId="0" fillId="0" borderId="4" xfId="1748" applyFont="1" applyBorder="1" applyAlignment="1">
      <alignment vertical="center" wrapText="1"/>
    </xf>
    <xf numFmtId="0" fontId="0" fillId="0" borderId="4" xfId="1748" applyFont="1" applyBorder="1" applyAlignment="1">
      <alignment horizontal="left" vertical="center" wrapText="1"/>
    </xf>
    <xf numFmtId="0" fontId="0" fillId="0" borderId="4" xfId="1748" applyFont="1" applyFill="1" applyBorder="1" applyAlignment="1">
      <alignment vertical="center" wrapText="1"/>
    </xf>
    <xf numFmtId="0" fontId="0" fillId="0" borderId="8" xfId="1748" applyFont="1" applyFill="1" applyBorder="1" applyAlignment="1">
      <alignment vertical="center" wrapText="1"/>
    </xf>
    <xf numFmtId="0" fontId="23" fillId="0" borderId="0" xfId="1744" applyFont="1" applyFill="1" applyBorder="1" applyAlignment="1">
      <alignment horizontal="center" vertical="center"/>
    </xf>
    <xf numFmtId="0" fontId="0" fillId="0" borderId="39" xfId="1744" applyFont="1" applyFill="1" applyBorder="1" applyAlignment="1">
      <alignment horizontal="center" vertical="center"/>
    </xf>
    <xf numFmtId="0" fontId="0" fillId="0" borderId="40" xfId="1738" applyFont="1" applyFill="1" applyBorder="1" applyAlignment="1">
      <alignment horizontal="center" vertical="center"/>
    </xf>
    <xf numFmtId="0" fontId="10" fillId="0" borderId="41" xfId="1744" applyFont="1" applyFill="1" applyBorder="1" applyAlignment="1">
      <alignment horizontal="center" vertical="center"/>
    </xf>
    <xf numFmtId="0" fontId="10" fillId="0" borderId="40" xfId="1744" applyFont="1" applyFill="1" applyBorder="1" applyAlignment="1">
      <alignment horizontal="center" vertical="center"/>
    </xf>
    <xf numFmtId="0" fontId="18" fillId="0" borderId="4" xfId="1744" applyFont="1" applyFill="1" applyBorder="1" applyAlignment="1">
      <alignment vertical="center" wrapText="1"/>
    </xf>
    <xf numFmtId="198" fontId="0" fillId="0" borderId="5" xfId="1744" applyNumberFormat="1" applyFont="1" applyFill="1" applyBorder="1" applyAlignment="1">
      <alignment horizontal="right" vertical="center"/>
    </xf>
    <xf numFmtId="202" fontId="0" fillId="0" borderId="5" xfId="1744" applyNumberFormat="1" applyFont="1" applyFill="1" applyBorder="1" applyAlignment="1">
      <alignment horizontal="right" vertical="center"/>
    </xf>
    <xf numFmtId="0" fontId="0" fillId="0" borderId="6" xfId="1744" applyFont="1" applyFill="1" applyBorder="1" applyAlignment="1">
      <alignment horizontal="center" vertical="center"/>
    </xf>
    <xf numFmtId="0" fontId="0" fillId="0" borderId="4" xfId="1744" applyFont="1" applyFill="1" applyBorder="1" applyAlignment="1">
      <alignment vertical="center"/>
    </xf>
    <xf numFmtId="184" fontId="0" fillId="0" borderId="5" xfId="1744" applyNumberFormat="1" applyFont="1" applyFill="1" applyBorder="1" applyAlignment="1">
      <alignment horizontal="right" vertical="center"/>
    </xf>
    <xf numFmtId="0" fontId="0" fillId="0" borderId="6" xfId="1744" applyNumberFormat="1" applyFont="1" applyFill="1" applyBorder="1" applyAlignment="1">
      <alignment horizontal="center" vertical="center"/>
    </xf>
    <xf numFmtId="0" fontId="0" fillId="0" borderId="4" xfId="1744" applyFont="1" applyFill="1" applyBorder="1" applyAlignment="1">
      <alignment vertical="center" wrapText="1"/>
    </xf>
    <xf numFmtId="0" fontId="0" fillId="0" borderId="4" xfId="1744" applyFont="1" applyFill="1" applyBorder="1" applyAlignment="1">
      <alignment horizontal="left" vertical="center" wrapText="1"/>
    </xf>
    <xf numFmtId="0" fontId="0" fillId="0" borderId="6" xfId="1744" applyFont="1" applyFill="1" applyBorder="1"/>
    <xf numFmtId="0" fontId="0" fillId="0" borderId="5" xfId="1744" applyFont="1" applyFill="1" applyBorder="1"/>
    <xf numFmtId="209" fontId="0" fillId="0" borderId="5" xfId="1744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1744" applyFont="1" applyFill="1" applyBorder="1" applyAlignment="1">
      <alignment vertical="center" wrapText="1"/>
    </xf>
    <xf numFmtId="209" fontId="0" fillId="0" borderId="9" xfId="1744" applyNumberFormat="1" applyFont="1" applyFill="1" applyBorder="1" applyAlignment="1">
      <alignment horizontal="right" vertical="center"/>
    </xf>
    <xf numFmtId="202" fontId="0" fillId="0" borderId="9" xfId="1744" applyNumberFormat="1" applyFont="1" applyFill="1" applyBorder="1" applyAlignment="1">
      <alignment horizontal="right" vertical="center"/>
    </xf>
    <xf numFmtId="208" fontId="0" fillId="0" borderId="0" xfId="0" applyNumberFormat="1"/>
    <xf numFmtId="0" fontId="23" fillId="0" borderId="0" xfId="1739" applyFont="1" applyBorder="1" applyAlignment="1">
      <alignment horizontal="center" vertical="center"/>
    </xf>
    <xf numFmtId="0" fontId="0" fillId="0" borderId="39" xfId="1739" applyFont="1" applyBorder="1" applyAlignment="1">
      <alignment horizontal="center" vertical="center"/>
    </xf>
    <xf numFmtId="0" fontId="10" fillId="0" borderId="41" xfId="1739" applyFont="1" applyBorder="1" applyAlignment="1">
      <alignment horizontal="center" vertical="center"/>
    </xf>
    <xf numFmtId="0" fontId="10" fillId="0" borderId="40" xfId="1739" applyFont="1" applyBorder="1" applyAlignment="1">
      <alignment horizontal="center" vertical="center"/>
    </xf>
    <xf numFmtId="0" fontId="18" fillId="0" borderId="4" xfId="1739" applyFont="1" applyBorder="1" applyAlignment="1">
      <alignment vertical="center"/>
    </xf>
    <xf numFmtId="0" fontId="0" fillId="0" borderId="6" xfId="1739" applyFont="1" applyBorder="1"/>
    <xf numFmtId="0" fontId="0" fillId="0" borderId="5" xfId="1739" applyFont="1" applyBorder="1"/>
    <xf numFmtId="0" fontId="0" fillId="0" borderId="4" xfId="1739" applyFont="1" applyBorder="1" applyAlignment="1">
      <alignment vertical="center"/>
    </xf>
    <xf numFmtId="209" fontId="104" fillId="0" borderId="0" xfId="1739" applyNumberFormat="1"/>
    <xf numFmtId="202" fontId="0" fillId="0" borderId="5" xfId="1739" applyNumberFormat="1" applyFont="1" applyFill="1" applyBorder="1" applyAlignment="1">
      <alignment horizontal="right" vertical="center"/>
    </xf>
    <xf numFmtId="0" fontId="0" fillId="0" borderId="6" xfId="1739" applyNumberFormat="1" applyFont="1" applyFill="1" applyBorder="1" applyAlignment="1">
      <alignment horizontal="center" vertical="center"/>
    </xf>
    <xf numFmtId="0" fontId="0" fillId="0" borderId="6" xfId="1739" applyFont="1" applyFill="1" applyBorder="1" applyAlignment="1">
      <alignment horizontal="center" vertical="center"/>
    </xf>
    <xf numFmtId="0" fontId="0" fillId="0" borderId="4" xfId="1739" applyFont="1" applyBorder="1" applyAlignment="1">
      <alignment vertical="center" wrapText="1"/>
    </xf>
    <xf numFmtId="0" fontId="0" fillId="0" borderId="4" xfId="1739" applyFont="1" applyBorder="1" applyAlignment="1">
      <alignment horizontal="left" vertical="center" wrapText="1"/>
    </xf>
    <xf numFmtId="0" fontId="0" fillId="0" borderId="4" xfId="1739" applyFont="1" applyFill="1" applyBorder="1" applyAlignment="1">
      <alignment vertical="center" wrapText="1"/>
    </xf>
    <xf numFmtId="0" fontId="18" fillId="0" borderId="4" xfId="1739" applyFont="1" applyBorder="1" applyAlignment="1">
      <alignment vertical="center" wrapText="1"/>
    </xf>
    <xf numFmtId="0" fontId="23" fillId="0" borderId="0" xfId="1735" applyFont="1" applyBorder="1" applyAlignment="1">
      <alignment horizontal="center" vertical="center"/>
    </xf>
    <xf numFmtId="0" fontId="0" fillId="0" borderId="0" xfId="1735" applyFont="1"/>
    <xf numFmtId="0" fontId="0" fillId="0" borderId="39" xfId="1735" applyFont="1" applyBorder="1" applyAlignment="1">
      <alignment horizontal="center" vertical="center"/>
    </xf>
    <xf numFmtId="0" fontId="10" fillId="0" borderId="41" xfId="1735" applyFont="1" applyBorder="1" applyAlignment="1">
      <alignment horizontal="center" vertical="center"/>
    </xf>
    <xf numFmtId="0" fontId="10" fillId="0" borderId="40" xfId="1735" applyFont="1" applyBorder="1" applyAlignment="1">
      <alignment horizontal="center" vertical="center"/>
    </xf>
    <xf numFmtId="0" fontId="18" fillId="0" borderId="4" xfId="1735" applyFont="1" applyBorder="1" applyAlignment="1">
      <alignment vertical="center" wrapText="1"/>
    </xf>
    <xf numFmtId="198" fontId="0" fillId="0" borderId="5" xfId="1735" applyNumberFormat="1" applyFont="1" applyBorder="1" applyAlignment="1">
      <alignment horizontal="right" vertical="center"/>
    </xf>
    <xf numFmtId="208" fontId="0" fillId="0" borderId="5" xfId="1735" applyNumberFormat="1" applyFont="1" applyBorder="1" applyAlignment="1">
      <alignment horizontal="right" vertical="center"/>
    </xf>
    <xf numFmtId="0" fontId="0" fillId="0" borderId="6" xfId="1735" applyFont="1" applyFill="1" applyBorder="1" applyAlignment="1">
      <alignment horizontal="center" vertical="center"/>
    </xf>
    <xf numFmtId="0" fontId="0" fillId="0" borderId="4" xfId="1735" applyFont="1" applyBorder="1" applyAlignment="1">
      <alignment vertical="center"/>
    </xf>
    <xf numFmtId="209" fontId="104" fillId="0" borderId="0" xfId="1735" applyNumberFormat="1"/>
    <xf numFmtId="202" fontId="0" fillId="0" borderId="5" xfId="1735" applyNumberFormat="1" applyFont="1" applyFill="1" applyBorder="1" applyAlignment="1">
      <alignment horizontal="right" vertical="center"/>
    </xf>
    <xf numFmtId="0" fontId="0" fillId="0" borderId="6" xfId="1735" applyNumberFormat="1" applyFont="1" applyFill="1" applyBorder="1" applyAlignment="1">
      <alignment horizontal="center" vertical="center"/>
    </xf>
    <xf numFmtId="0" fontId="0" fillId="0" borderId="4" xfId="1735" applyFont="1" applyBorder="1" applyAlignment="1">
      <alignment vertical="center" wrapText="1"/>
    </xf>
    <xf numFmtId="0" fontId="0" fillId="0" borderId="4" xfId="1735" applyFont="1" applyBorder="1" applyAlignment="1">
      <alignment horizontal="left" vertical="center" wrapText="1"/>
    </xf>
    <xf numFmtId="0" fontId="0" fillId="0" borderId="4" xfId="1735" applyFont="1" applyFill="1" applyBorder="1" applyAlignment="1">
      <alignment vertical="center" wrapText="1"/>
    </xf>
    <xf numFmtId="0" fontId="0" fillId="0" borderId="8" xfId="1735" applyFont="1" applyFill="1" applyBorder="1" applyAlignment="1">
      <alignment vertical="center" wrapText="1"/>
    </xf>
    <xf numFmtId="0" fontId="23" fillId="0" borderId="0" xfId="1138" applyFont="1" applyBorder="1" applyAlignment="1">
      <alignment horizontal="center" vertical="center"/>
    </xf>
    <xf numFmtId="0" fontId="0" fillId="0" borderId="0" xfId="1138" applyFont="1"/>
    <xf numFmtId="0" fontId="0" fillId="0" borderId="39" xfId="1138" applyFont="1" applyBorder="1" applyAlignment="1">
      <alignment horizontal="center" vertical="center"/>
    </xf>
    <xf numFmtId="0" fontId="10" fillId="0" borderId="41" xfId="1138" applyFont="1" applyBorder="1" applyAlignment="1">
      <alignment horizontal="center" vertical="center"/>
    </xf>
    <xf numFmtId="0" fontId="10" fillId="0" borderId="40" xfId="1138" applyFont="1" applyBorder="1" applyAlignment="1">
      <alignment horizontal="center" vertical="center"/>
    </xf>
    <xf numFmtId="0" fontId="18" fillId="0" borderId="4" xfId="1138" applyFont="1" applyBorder="1" applyAlignment="1">
      <alignment vertical="center" wrapText="1"/>
    </xf>
    <xf numFmtId="198" fontId="0" fillId="0" borderId="5" xfId="1138" applyNumberFormat="1" applyFont="1" applyBorder="1" applyAlignment="1">
      <alignment horizontal="right" vertical="center"/>
    </xf>
    <xf numFmtId="208" fontId="0" fillId="0" borderId="5" xfId="1138" applyNumberFormat="1" applyFont="1" applyBorder="1" applyAlignment="1">
      <alignment horizontal="right" vertical="center"/>
    </xf>
    <xf numFmtId="0" fontId="0" fillId="0" borderId="6" xfId="1138" applyFont="1" applyFill="1" applyBorder="1" applyAlignment="1">
      <alignment horizontal="center" vertical="center"/>
    </xf>
    <xf numFmtId="0" fontId="0" fillId="0" borderId="4" xfId="1138" applyFont="1" applyBorder="1" applyAlignment="1">
      <alignment vertical="center"/>
    </xf>
    <xf numFmtId="209" fontId="0" fillId="0" borderId="0" xfId="1138" applyNumberFormat="1" applyFont="1"/>
    <xf numFmtId="202" fontId="0" fillId="0" borderId="5" xfId="1138" applyNumberFormat="1" applyFont="1" applyFill="1" applyBorder="1" applyAlignment="1">
      <alignment horizontal="right" vertical="center"/>
    </xf>
    <xf numFmtId="0" fontId="0" fillId="0" borderId="6" xfId="1138" applyNumberFormat="1" applyFont="1" applyFill="1" applyBorder="1" applyAlignment="1">
      <alignment horizontal="center" vertical="center"/>
    </xf>
    <xf numFmtId="0" fontId="0" fillId="0" borderId="4" xfId="1138" applyFont="1" applyBorder="1" applyAlignment="1">
      <alignment vertical="center" wrapText="1"/>
    </xf>
    <xf numFmtId="0" fontId="0" fillId="0" borderId="4" xfId="1138" applyFont="1" applyBorder="1" applyAlignment="1">
      <alignment horizontal="left" vertical="center" wrapText="1"/>
    </xf>
    <xf numFmtId="0" fontId="0" fillId="0" borderId="4" xfId="1138" applyFont="1" applyFill="1" applyBorder="1" applyAlignment="1">
      <alignment vertical="center" wrapText="1"/>
    </xf>
    <xf numFmtId="0" fontId="18" fillId="0" borderId="4" xfId="1138" applyFont="1" applyBorder="1" applyAlignment="1">
      <alignment vertical="center"/>
    </xf>
    <xf numFmtId="0" fontId="0" fillId="0" borderId="5" xfId="1138" applyFont="1" applyBorder="1"/>
    <xf numFmtId="0" fontId="0" fillId="0" borderId="6" xfId="1138" applyFont="1" applyBorder="1"/>
    <xf numFmtId="0" fontId="23" fillId="0" borderId="0" xfId="1747" applyFont="1" applyFill="1" applyBorder="1" applyAlignment="1">
      <alignment horizontal="center" vertical="center"/>
    </xf>
    <xf numFmtId="0" fontId="0" fillId="0" borderId="0" xfId="1747" applyFont="1" applyFill="1"/>
    <xf numFmtId="0" fontId="0" fillId="0" borderId="39" xfId="1747" applyFont="1" applyFill="1" applyBorder="1" applyAlignment="1">
      <alignment horizontal="center" vertical="center"/>
    </xf>
    <xf numFmtId="0" fontId="10" fillId="0" borderId="41" xfId="1747" applyFont="1" applyFill="1" applyBorder="1" applyAlignment="1">
      <alignment horizontal="center" vertical="center"/>
    </xf>
    <xf numFmtId="0" fontId="10" fillId="0" borderId="40" xfId="1747" applyFont="1" applyFill="1" applyBorder="1" applyAlignment="1">
      <alignment horizontal="center" vertical="center"/>
    </xf>
    <xf numFmtId="0" fontId="18" fillId="0" borderId="4" xfId="1747" applyFont="1" applyFill="1" applyBorder="1" applyAlignment="1">
      <alignment vertical="center"/>
    </xf>
    <xf numFmtId="0" fontId="0" fillId="0" borderId="6" xfId="1747" applyFont="1" applyFill="1" applyBorder="1"/>
    <xf numFmtId="0" fontId="0" fillId="0" borderId="5" xfId="1747" applyFont="1" applyFill="1" applyBorder="1"/>
    <xf numFmtId="0" fontId="0" fillId="0" borderId="4" xfId="1747" applyFont="1" applyFill="1" applyBorder="1" applyAlignment="1">
      <alignment vertical="center"/>
    </xf>
    <xf numFmtId="209" fontId="0" fillId="0" borderId="0" xfId="1747" applyNumberFormat="1" applyFont="1" applyFill="1"/>
    <xf numFmtId="202" fontId="0" fillId="0" borderId="5" xfId="1747" applyNumberFormat="1" applyFont="1" applyFill="1" applyBorder="1" applyAlignment="1">
      <alignment horizontal="right" vertical="center"/>
    </xf>
    <xf numFmtId="0" fontId="0" fillId="0" borderId="6" xfId="1747" applyNumberFormat="1" applyFont="1" applyFill="1" applyBorder="1" applyAlignment="1">
      <alignment horizontal="center" vertical="center"/>
    </xf>
    <xf numFmtId="0" fontId="0" fillId="0" borderId="6" xfId="1747" applyFont="1" applyFill="1" applyBorder="1" applyAlignment="1">
      <alignment horizontal="center" vertical="center"/>
    </xf>
    <xf numFmtId="0" fontId="0" fillId="0" borderId="4" xfId="1747" applyFont="1" applyFill="1" applyBorder="1" applyAlignment="1">
      <alignment vertical="center" wrapText="1"/>
    </xf>
    <xf numFmtId="0" fontId="0" fillId="0" borderId="4" xfId="1747" applyFont="1" applyFill="1" applyBorder="1" applyAlignment="1">
      <alignment horizontal="left" vertical="center" wrapText="1"/>
    </xf>
    <xf numFmtId="0" fontId="18" fillId="0" borderId="4" xfId="1747" applyFont="1" applyFill="1" applyBorder="1" applyAlignment="1">
      <alignment vertical="center" wrapText="1"/>
    </xf>
    <xf numFmtId="0" fontId="0" fillId="0" borderId="6" xfId="1747" applyNumberFormat="1" applyFont="1" applyFill="1" applyBorder="1" applyAlignment="1">
      <alignment horizontal="center" vertical="center"/>
    </xf>
    <xf numFmtId="0" fontId="0" fillId="0" borderId="6" xfId="1747" applyFont="1" applyFill="1" applyBorder="1" applyAlignment="1">
      <alignment horizontal="center" vertical="center"/>
    </xf>
    <xf numFmtId="202" fontId="0" fillId="0" borderId="5" xfId="1747" applyNumberFormat="1" applyFont="1" applyFill="1" applyBorder="1" applyAlignment="1">
      <alignment horizontal="center" vertical="center"/>
    </xf>
    <xf numFmtId="202" fontId="0" fillId="0" borderId="5" xfId="1747" applyNumberFormat="1" applyFont="1" applyFill="1" applyBorder="1" applyAlignment="1">
      <alignment horizontal="center" vertical="center"/>
    </xf>
    <xf numFmtId="0" fontId="23" fillId="0" borderId="0" xfId="1743" applyFont="1" applyFill="1" applyBorder="1" applyAlignment="1">
      <alignment horizontal="center" vertical="center"/>
    </xf>
    <xf numFmtId="0" fontId="0" fillId="0" borderId="39" xfId="1743" applyFont="1" applyFill="1" applyBorder="1" applyAlignment="1">
      <alignment horizontal="center" vertical="center"/>
    </xf>
    <xf numFmtId="0" fontId="0" fillId="0" borderId="41" xfId="1743" applyFont="1" applyFill="1" applyBorder="1" applyAlignment="1">
      <alignment horizontal="center" vertical="center"/>
    </xf>
    <xf numFmtId="0" fontId="0" fillId="0" borderId="40" xfId="1743" applyFont="1" applyFill="1" applyBorder="1" applyAlignment="1">
      <alignment horizontal="center" vertical="center"/>
    </xf>
    <xf numFmtId="0" fontId="24" fillId="0" borderId="4" xfId="1743" applyFont="1" applyFill="1" applyBorder="1" applyAlignment="1">
      <alignment vertical="center" wrapText="1"/>
    </xf>
    <xf numFmtId="198" fontId="0" fillId="0" borderId="5" xfId="1743" applyNumberFormat="1" applyFont="1" applyFill="1" applyBorder="1" applyAlignment="1">
      <alignment horizontal="right" vertical="center"/>
    </xf>
    <xf numFmtId="208" fontId="0" fillId="0" borderId="5" xfId="1743" applyNumberFormat="1" applyFont="1" applyFill="1" applyBorder="1" applyAlignment="1">
      <alignment horizontal="right" vertical="center"/>
    </xf>
    <xf numFmtId="0" fontId="0" fillId="0" borderId="6" xfId="1743" applyFont="1" applyFill="1" applyBorder="1" applyAlignment="1">
      <alignment horizontal="center" vertical="center"/>
    </xf>
    <xf numFmtId="0" fontId="0" fillId="0" borderId="4" xfId="1743" applyFont="1" applyFill="1" applyBorder="1" applyAlignment="1">
      <alignment vertical="center"/>
    </xf>
    <xf numFmtId="190" fontId="0" fillId="0" borderId="5" xfId="1743" applyNumberFormat="1" applyFont="1" applyFill="1" applyBorder="1" applyAlignment="1">
      <alignment horizontal="right" vertical="center"/>
    </xf>
    <xf numFmtId="202" fontId="0" fillId="0" borderId="5" xfId="1743" applyNumberFormat="1" applyFont="1" applyFill="1" applyBorder="1" applyAlignment="1">
      <alignment horizontal="right" vertical="center"/>
    </xf>
    <xf numFmtId="0" fontId="0" fillId="0" borderId="6" xfId="1743" applyNumberFormat="1" applyFont="1" applyFill="1" applyBorder="1" applyAlignment="1">
      <alignment horizontal="center" vertical="center"/>
    </xf>
    <xf numFmtId="0" fontId="0" fillId="0" borderId="6" xfId="1743" applyFont="1" applyFill="1" applyBorder="1" applyAlignment="1">
      <alignment horizontal="center" vertical="center"/>
    </xf>
    <xf numFmtId="0" fontId="0" fillId="0" borderId="4" xfId="1743" applyFont="1" applyFill="1" applyBorder="1" applyAlignment="1">
      <alignment vertical="center" wrapText="1"/>
    </xf>
    <xf numFmtId="0" fontId="0" fillId="0" borderId="4" xfId="1743" applyFont="1" applyFill="1" applyBorder="1" applyAlignment="1">
      <alignment horizontal="left" vertical="center" wrapText="1"/>
    </xf>
    <xf numFmtId="202" fontId="0" fillId="0" borderId="5" xfId="1743" applyNumberFormat="1" applyFont="1" applyFill="1" applyBorder="1" applyAlignment="1">
      <alignment horizontal="right" vertical="center"/>
    </xf>
    <xf numFmtId="209" fontId="0" fillId="0" borderId="0" xfId="1743" applyNumberFormat="1" applyFont="1" applyFill="1"/>
    <xf numFmtId="0" fontId="0" fillId="0" borderId="8" xfId="1743" applyFont="1" applyFill="1" applyBorder="1" applyAlignment="1">
      <alignment vertical="center" wrapText="1"/>
    </xf>
    <xf numFmtId="0" fontId="0" fillId="0" borderId="0" xfId="0" applyFont="1"/>
    <xf numFmtId="208" fontId="0" fillId="0" borderId="0" xfId="0" applyNumberFormat="1" applyFont="1"/>
    <xf numFmtId="0" fontId="23" fillId="0" borderId="0" xfId="1738" applyFont="1" applyBorder="1" applyAlignment="1">
      <alignment horizontal="center" vertical="center"/>
    </xf>
    <xf numFmtId="0" fontId="0" fillId="0" borderId="39" xfId="1738" applyFont="1" applyBorder="1" applyAlignment="1">
      <alignment horizontal="center" vertical="center"/>
    </xf>
    <xf numFmtId="0" fontId="0" fillId="0" borderId="41" xfId="1738" applyFont="1" applyBorder="1" applyAlignment="1">
      <alignment horizontal="center" vertical="center"/>
    </xf>
    <xf numFmtId="0" fontId="24" fillId="0" borderId="4" xfId="1738" applyFont="1" applyBorder="1" applyAlignment="1">
      <alignment vertical="center" wrapText="1"/>
    </xf>
    <xf numFmtId="198" fontId="0" fillId="0" borderId="5" xfId="1738" applyNumberFormat="1" applyFont="1" applyFill="1" applyBorder="1" applyAlignment="1">
      <alignment horizontal="right" vertical="center"/>
    </xf>
    <xf numFmtId="200" fontId="0" fillId="0" borderId="5" xfId="1738" applyNumberFormat="1" applyFont="1" applyFill="1" applyBorder="1" applyAlignment="1">
      <alignment horizontal="right" vertical="center"/>
    </xf>
    <xf numFmtId="190" fontId="0" fillId="0" borderId="6" xfId="1738" applyNumberFormat="1" applyFont="1" applyFill="1" applyBorder="1" applyAlignment="1">
      <alignment horizontal="center" vertical="center"/>
    </xf>
    <xf numFmtId="0" fontId="0" fillId="0" borderId="4" xfId="1738" applyFont="1" applyBorder="1" applyAlignment="1">
      <alignment vertical="center"/>
    </xf>
    <xf numFmtId="202" fontId="0" fillId="0" borderId="5" xfId="1738" applyNumberFormat="1" applyFont="1" applyFill="1" applyBorder="1" applyAlignment="1">
      <alignment horizontal="right" vertical="center"/>
    </xf>
    <xf numFmtId="0" fontId="0" fillId="0" borderId="6" xfId="1738" applyNumberFormat="1" applyFont="1" applyFill="1" applyBorder="1" applyAlignment="1">
      <alignment horizontal="center" vertical="center"/>
    </xf>
    <xf numFmtId="0" fontId="0" fillId="0" borderId="6" xfId="1738" applyFont="1" applyFill="1" applyBorder="1" applyAlignment="1">
      <alignment horizontal="center" vertical="center"/>
    </xf>
    <xf numFmtId="0" fontId="0" fillId="0" borderId="4" xfId="1738" applyFont="1" applyBorder="1" applyAlignment="1">
      <alignment vertical="center" wrapText="1"/>
    </xf>
    <xf numFmtId="0" fontId="0" fillId="0" borderId="4" xfId="1738" applyFont="1" applyBorder="1" applyAlignment="1">
      <alignment horizontal="left" vertical="center" wrapText="1"/>
    </xf>
    <xf numFmtId="0" fontId="0" fillId="0" borderId="4" xfId="1738" applyFont="1" applyFill="1" applyBorder="1" applyAlignment="1">
      <alignment vertical="center" wrapText="1"/>
    </xf>
    <xf numFmtId="0" fontId="0" fillId="0" borderId="0" xfId="1738" applyNumberFormat="1" applyFont="1" applyFill="1" applyBorder="1" applyAlignment="1">
      <alignment vertical="center" wrapText="1"/>
    </xf>
    <xf numFmtId="0" fontId="24" fillId="0" borderId="4" xfId="1738" applyFont="1" applyBorder="1" applyAlignment="1">
      <alignment vertical="center"/>
    </xf>
    <xf numFmtId="0" fontId="0" fillId="0" borderId="6" xfId="1738" applyFont="1" applyBorder="1"/>
    <xf numFmtId="0" fontId="0" fillId="0" borderId="5" xfId="1738" applyFont="1" applyBorder="1"/>
    <xf numFmtId="190" fontId="0" fillId="0" borderId="5" xfId="1738" applyNumberFormat="1" applyFont="1" applyFill="1" applyBorder="1" applyAlignment="1">
      <alignment horizontal="right" vertical="center"/>
    </xf>
    <xf numFmtId="0" fontId="23" fillId="0" borderId="0" xfId="1734" applyFont="1" applyBorder="1" applyAlignment="1">
      <alignment horizontal="center" vertical="center"/>
    </xf>
    <xf numFmtId="0" fontId="0" fillId="0" borderId="39" xfId="1734" applyFont="1" applyBorder="1" applyAlignment="1">
      <alignment horizontal="center" vertical="center"/>
    </xf>
    <xf numFmtId="0" fontId="0" fillId="0" borderId="40" xfId="1734" applyFont="1" applyBorder="1" applyAlignment="1">
      <alignment horizontal="center" vertical="center"/>
    </xf>
    <xf numFmtId="0" fontId="10" fillId="0" borderId="41" xfId="1734" applyFont="1" applyBorder="1" applyAlignment="1">
      <alignment horizontal="center" vertical="center"/>
    </xf>
    <xf numFmtId="0" fontId="10" fillId="0" borderId="40" xfId="1734" applyFont="1" applyBorder="1" applyAlignment="1">
      <alignment horizontal="center" vertical="center"/>
    </xf>
    <xf numFmtId="0" fontId="18" fillId="0" borderId="4" xfId="1734" applyFont="1" applyBorder="1" applyAlignment="1">
      <alignment vertical="center"/>
    </xf>
    <xf numFmtId="0" fontId="0" fillId="0" borderId="6" xfId="1734" applyFont="1" applyBorder="1"/>
    <xf numFmtId="0" fontId="0" fillId="0" borderId="5" xfId="1734" applyFont="1" applyBorder="1"/>
    <xf numFmtId="0" fontId="0" fillId="0" borderId="4" xfId="1734" applyFont="1" applyBorder="1" applyAlignment="1">
      <alignment vertical="center"/>
    </xf>
    <xf numFmtId="208" fontId="0" fillId="0" borderId="5" xfId="1734" applyNumberFormat="1" applyFont="1" applyFill="1" applyBorder="1" applyAlignment="1">
      <alignment horizontal="right" vertical="center"/>
    </xf>
    <xf numFmtId="202" fontId="0" fillId="0" borderId="5" xfId="1734" applyNumberFormat="1" applyFont="1" applyFill="1" applyBorder="1" applyAlignment="1">
      <alignment horizontal="right" vertical="center"/>
    </xf>
    <xf numFmtId="0" fontId="0" fillId="0" borderId="6" xfId="1734" applyNumberFormat="1" applyFont="1" applyFill="1" applyBorder="1" applyAlignment="1">
      <alignment horizontal="center" vertical="center"/>
    </xf>
    <xf numFmtId="0" fontId="0" fillId="0" borderId="6" xfId="1734" applyFont="1" applyFill="1" applyBorder="1" applyAlignment="1">
      <alignment horizontal="center" vertical="center"/>
    </xf>
    <xf numFmtId="0" fontId="0" fillId="0" borderId="4" xfId="1734" applyFont="1" applyBorder="1" applyAlignment="1">
      <alignment vertical="center" wrapText="1"/>
    </xf>
    <xf numFmtId="0" fontId="0" fillId="0" borderId="4" xfId="1734" applyFont="1" applyBorder="1" applyAlignment="1">
      <alignment horizontal="left" vertical="center" wrapText="1"/>
    </xf>
    <xf numFmtId="0" fontId="0" fillId="0" borderId="4" xfId="1734" applyFont="1" applyFill="1" applyBorder="1" applyAlignment="1">
      <alignment vertical="center" wrapText="1"/>
    </xf>
    <xf numFmtId="0" fontId="18" fillId="0" borderId="4" xfId="1734" applyFont="1" applyBorder="1" applyAlignment="1">
      <alignment vertical="center" wrapText="1"/>
    </xf>
    <xf numFmtId="198" fontId="0" fillId="0" borderId="5" xfId="1734" applyNumberFormat="1" applyFont="1" applyFill="1" applyBorder="1" applyAlignment="1">
      <alignment horizontal="right" vertical="center"/>
    </xf>
    <xf numFmtId="209" fontId="0" fillId="0" borderId="0" xfId="1734" applyNumberFormat="1" applyFont="1"/>
    <xf numFmtId="0" fontId="10" fillId="0" borderId="0" xfId="0" applyFont="1" applyFill="1" applyBorder="1" applyAlignment="1">
      <alignment vertical="center" wrapText="1"/>
    </xf>
    <xf numFmtId="0" fontId="0" fillId="0" borderId="0" xfId="0" applyFont="1" applyFill="1" applyBorder="1"/>
    <xf numFmtId="0" fontId="23" fillId="0" borderId="0" xfId="1137" applyFont="1" applyBorder="1" applyAlignment="1">
      <alignment horizontal="center" vertical="center"/>
    </xf>
    <xf numFmtId="0" fontId="0" fillId="0" borderId="0" xfId="1137" applyFont="1" applyBorder="1" applyAlignment="1">
      <alignment horizontal="center" vertical="center"/>
    </xf>
    <xf numFmtId="0" fontId="0" fillId="0" borderId="45" xfId="1137" applyFont="1" applyBorder="1" applyAlignment="1">
      <alignment horizontal="center" vertical="center"/>
    </xf>
    <xf numFmtId="0" fontId="0" fillId="0" borderId="46" xfId="3505" applyFont="1" applyBorder="1" applyAlignment="1">
      <alignment horizontal="center" vertical="center"/>
    </xf>
    <xf numFmtId="49" fontId="0" fillId="0" borderId="46" xfId="3507" applyNumberFormat="1" applyFont="1" applyBorder="1" applyAlignment="1">
      <alignment horizontal="center" vertical="center" wrapText="1"/>
    </xf>
    <xf numFmtId="0" fontId="0" fillId="0" borderId="47" xfId="1137" applyFont="1" applyBorder="1" applyAlignment="1">
      <alignment horizontal="center" vertical="center"/>
    </xf>
    <xf numFmtId="0" fontId="18" fillId="0" borderId="0" xfId="1137" applyFont="1" applyBorder="1" applyAlignment="1">
      <alignment vertical="center" wrapText="1"/>
    </xf>
    <xf numFmtId="0" fontId="0" fillId="0" borderId="20" xfId="1137" applyFont="1" applyBorder="1"/>
    <xf numFmtId="0" fontId="18" fillId="0" borderId="6" xfId="1137" applyFont="1" applyBorder="1" applyAlignment="1">
      <alignment vertical="center" wrapText="1"/>
    </xf>
    <xf numFmtId="0" fontId="0" fillId="0" borderId="6" xfId="1137" applyFont="1" applyBorder="1"/>
    <xf numFmtId="0" fontId="0" fillId="0" borderId="0" xfId="1137" applyFont="1" applyBorder="1" applyAlignment="1">
      <alignment vertical="center"/>
    </xf>
    <xf numFmtId="209" fontId="0" fillId="0" borderId="20" xfId="1137" applyNumberFormat="1" applyFont="1" applyBorder="1"/>
    <xf numFmtId="202" fontId="0" fillId="0" borderId="6" xfId="1137" applyNumberFormat="1" applyFont="1" applyBorder="1" applyAlignment="1">
      <alignment horizontal="right" vertical="center"/>
    </xf>
    <xf numFmtId="0" fontId="0" fillId="0" borderId="0" xfId="1137" applyFont="1" applyBorder="1" applyAlignment="1">
      <alignment vertical="center" wrapText="1"/>
    </xf>
    <xf numFmtId="0" fontId="0" fillId="0" borderId="0" xfId="1137" applyFont="1" applyBorder="1" applyAlignment="1">
      <alignment horizontal="left" vertical="center" wrapText="1"/>
    </xf>
    <xf numFmtId="0" fontId="0" fillId="0" borderId="0" xfId="1137" applyFont="1" applyFill="1" applyBorder="1" applyAlignment="1">
      <alignment vertical="center" wrapText="1"/>
    </xf>
    <xf numFmtId="0" fontId="18" fillId="0" borderId="0" xfId="1137" applyFont="1" applyBorder="1" applyAlignment="1">
      <alignment vertical="center"/>
    </xf>
    <xf numFmtId="0" fontId="0" fillId="0" borderId="0" xfId="0" applyFont="1" applyFill="1"/>
    <xf numFmtId="208" fontId="0" fillId="0" borderId="0" xfId="0" applyNumberFormat="1" applyFont="1" applyFill="1"/>
    <xf numFmtId="0" fontId="23" fillId="0" borderId="0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209" fontId="0" fillId="0" borderId="21" xfId="0" applyNumberFormat="1" applyFont="1" applyFill="1" applyBorder="1"/>
    <xf numFmtId="0" fontId="0" fillId="0" borderId="4" xfId="0" applyFont="1" applyFill="1" applyBorder="1"/>
    <xf numFmtId="0" fontId="0" fillId="0" borderId="6" xfId="0" applyFont="1" applyFill="1" applyBorder="1"/>
    <xf numFmtId="0" fontId="0" fillId="0" borderId="0" xfId="0" applyFont="1" applyFill="1" applyBorder="1" applyAlignment="1">
      <alignment vertical="center"/>
    </xf>
    <xf numFmtId="202" fontId="25" fillId="0" borderId="4" xfId="0" applyNumberFormat="1" applyFont="1" applyFill="1" applyBorder="1" applyAlignment="1">
      <alignment vertical="center"/>
    </xf>
    <xf numFmtId="0" fontId="0" fillId="0" borderId="0" xfId="1125" applyFont="1" applyFill="1" applyBorder="1" applyAlignment="1">
      <alignment horizontal="center" vertical="center"/>
    </xf>
    <xf numFmtId="0" fontId="0" fillId="0" borderId="6" xfId="1125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1728" applyFont="1" applyFill="1" applyBorder="1" applyAlignment="1">
      <alignment vertical="center"/>
    </xf>
    <xf numFmtId="209" fontId="0" fillId="0" borderId="20" xfId="1728" applyNumberFormat="1" applyFont="1" applyFill="1" applyBorder="1"/>
    <xf numFmtId="0" fontId="0" fillId="0" borderId="6" xfId="0" applyNumberFormat="1" applyFont="1" applyFill="1" applyBorder="1" applyAlignment="1">
      <alignment horizontal="center" vertical="center"/>
    </xf>
    <xf numFmtId="0" fontId="0" fillId="0" borderId="0" xfId="1728" applyFont="1" applyFill="1" applyBorder="1" applyAlignment="1">
      <alignment vertical="center" wrapText="1"/>
    </xf>
    <xf numFmtId="0" fontId="0" fillId="0" borderId="0" xfId="1728" applyFont="1" applyFill="1" applyBorder="1" applyAlignment="1">
      <alignment horizontal="left" vertical="center" wrapText="1"/>
    </xf>
    <xf numFmtId="0" fontId="0" fillId="0" borderId="1" xfId="1728" applyFont="1" applyFill="1" applyBorder="1" applyAlignment="1">
      <alignment vertical="center" wrapText="1"/>
    </xf>
    <xf numFmtId="209" fontId="0" fillId="0" borderId="48" xfId="1728" applyNumberFormat="1" applyFont="1" applyFill="1" applyBorder="1"/>
    <xf numFmtId="0" fontId="0" fillId="0" borderId="1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198" fontId="0" fillId="0" borderId="21" xfId="0" applyNumberFormat="1" applyFont="1" applyFill="1" applyBorder="1" applyAlignment="1">
      <alignment horizontal="right" vertical="center"/>
    </xf>
    <xf numFmtId="202" fontId="0" fillId="0" borderId="4" xfId="0" applyNumberFormat="1" applyFont="1" applyFill="1" applyBorder="1" applyAlignment="1">
      <alignment horizontal="right" vertical="center"/>
    </xf>
    <xf numFmtId="202" fontId="0" fillId="0" borderId="0" xfId="0" applyNumberFormat="1" applyFont="1" applyFill="1" applyAlignment="1">
      <alignment vertical="center"/>
    </xf>
    <xf numFmtId="0" fontId="18" fillId="0" borderId="4" xfId="0" applyFont="1" applyFill="1" applyBorder="1" applyAlignment="1">
      <alignment vertical="center" wrapText="1"/>
    </xf>
    <xf numFmtId="198" fontId="0" fillId="0" borderId="6" xfId="2509" applyNumberFormat="1" applyFont="1" applyFill="1" applyBorder="1" applyAlignment="1">
      <alignment horizontal="right" vertical="center"/>
    </xf>
    <xf numFmtId="202" fontId="0" fillId="0" borderId="5" xfId="2509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center" vertical="center"/>
    </xf>
    <xf numFmtId="209" fontId="0" fillId="0" borderId="20" xfId="0" applyNumberFormat="1" applyFont="1" applyFill="1" applyBorder="1"/>
    <xf numFmtId="202" fontId="25" fillId="0" borderId="5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209" fontId="0" fillId="0" borderId="7" xfId="0" applyNumberFormat="1" applyFont="1" applyFill="1" applyBorder="1"/>
    <xf numFmtId="202" fontId="25" fillId="0" borderId="7" xfId="0" applyNumberFormat="1" applyFont="1" applyFill="1" applyBorder="1" applyAlignment="1">
      <alignment vertical="center"/>
    </xf>
    <xf numFmtId="0" fontId="0" fillId="0" borderId="13" xfId="1125" applyFont="1" applyFill="1" applyBorder="1" applyAlignment="1">
      <alignment horizontal="center" vertical="center"/>
    </xf>
    <xf numFmtId="202" fontId="0" fillId="0" borderId="0" xfId="0" applyNumberFormat="1" applyFont="1" applyFill="1"/>
    <xf numFmtId="0" fontId="3" fillId="0" borderId="0" xfId="0" applyFont="1" applyFill="1" applyBorder="1" applyAlignment="1">
      <alignment horizontal="center" vertical="center"/>
    </xf>
    <xf numFmtId="202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202" fontId="0" fillId="0" borderId="41" xfId="0" applyNumberFormat="1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vertical="center"/>
    </xf>
    <xf numFmtId="0" fontId="0" fillId="0" borderId="5" xfId="0" applyFont="1" applyFill="1" applyBorder="1"/>
    <xf numFmtId="202" fontId="0" fillId="0" borderId="4" xfId="0" applyNumberFormat="1" applyFont="1" applyFill="1" applyBorder="1"/>
    <xf numFmtId="0" fontId="0" fillId="0" borderId="4" xfId="0" applyFont="1" applyFill="1" applyBorder="1" applyAlignment="1">
      <alignment vertical="center"/>
    </xf>
    <xf numFmtId="209" fontId="0" fillId="0" borderId="5" xfId="0" applyNumberFormat="1" applyFont="1" applyFill="1" applyBorder="1"/>
    <xf numFmtId="0" fontId="0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vertical="center" wrapText="1"/>
    </xf>
    <xf numFmtId="209" fontId="0" fillId="0" borderId="9" xfId="0" applyNumberFormat="1" applyFont="1" applyFill="1" applyBorder="1"/>
    <xf numFmtId="0" fontId="0" fillId="0" borderId="0" xfId="0" applyFont="1" applyAlignment="1">
      <alignment vertical="center"/>
    </xf>
    <xf numFmtId="0" fontId="3" fillId="0" borderId="0" xfId="1724" applyFont="1" applyBorder="1" applyAlignment="1">
      <alignment horizontal="center" vertical="center"/>
    </xf>
    <xf numFmtId="0" fontId="0" fillId="0" borderId="0" xfId="1724" applyFont="1" applyBorder="1" applyAlignment="1">
      <alignment horizontal="center" vertical="center"/>
    </xf>
    <xf numFmtId="0" fontId="0" fillId="0" borderId="39" xfId="1724" applyFont="1" applyBorder="1" applyAlignment="1">
      <alignment horizontal="center" vertical="center"/>
    </xf>
    <xf numFmtId="0" fontId="104" fillId="0" borderId="41" xfId="1724" applyBorder="1" applyAlignment="1">
      <alignment horizontal="center" vertical="center"/>
    </xf>
    <xf numFmtId="0" fontId="0" fillId="0" borderId="40" xfId="1724" applyFont="1" applyBorder="1" applyAlignment="1">
      <alignment horizontal="center" vertical="center"/>
    </xf>
    <xf numFmtId="0" fontId="0" fillId="0" borderId="4" xfId="1724" applyFont="1" applyBorder="1" applyAlignment="1">
      <alignment horizontal="left" vertical="center"/>
    </xf>
    <xf numFmtId="208" fontId="0" fillId="0" borderId="15" xfId="1724" applyNumberFormat="1" applyFont="1" applyBorder="1" applyAlignment="1">
      <alignment horizontal="right" vertical="center"/>
    </xf>
    <xf numFmtId="208" fontId="0" fillId="0" borderId="16" xfId="1724" applyNumberFormat="1" applyFont="1" applyBorder="1" applyAlignment="1">
      <alignment horizontal="right" vertical="center"/>
    </xf>
    <xf numFmtId="0" fontId="24" fillId="0" borderId="4" xfId="1724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4" xfId="1724" applyFont="1" applyBorder="1" applyAlignment="1">
      <alignment vertical="center" wrapText="1"/>
    </xf>
    <xf numFmtId="208" fontId="0" fillId="0" borderId="0" xfId="0" applyNumberFormat="1" applyFont="1" applyBorder="1"/>
    <xf numFmtId="0" fontId="0" fillId="0" borderId="8" xfId="1724" applyFont="1" applyBorder="1" applyAlignment="1">
      <alignment horizontal="left" vertical="center" wrapText="1"/>
    </xf>
    <xf numFmtId="0" fontId="0" fillId="0" borderId="0" xfId="0" applyFont="1" applyFill="1" applyAlignment="1">
      <alignment horizontal="center"/>
    </xf>
    <xf numFmtId="0" fontId="26" fillId="0" borderId="0" xfId="0" applyFont="1" applyFill="1" applyAlignment="1">
      <alignment horizontal="left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wrapText="1"/>
    </xf>
    <xf numFmtId="0" fontId="30" fillId="0" borderId="0" xfId="0" applyFont="1" applyFill="1" applyBorder="1" applyAlignment="1">
      <alignment horizontal="right" wrapText="1"/>
    </xf>
    <xf numFmtId="0" fontId="30" fillId="0" borderId="0" xfId="0" applyFont="1" applyFill="1" applyBorder="1" applyAlignment="1">
      <alignment horizontal="right" vertical="top" wrapText="1"/>
    </xf>
    <xf numFmtId="0" fontId="26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0" fontId="27" fillId="0" borderId="0" xfId="0" applyFont="1" applyFill="1" applyBorder="1"/>
    <xf numFmtId="0" fontId="10" fillId="0" borderId="0" xfId="0" applyFont="1" applyFill="1" applyBorder="1"/>
    <xf numFmtId="0" fontId="0" fillId="0" borderId="39" xfId="1806" applyFont="1" applyFill="1" applyBorder="1" applyAlignment="1">
      <alignment horizontal="center" vertical="center"/>
    </xf>
    <xf numFmtId="0" fontId="0" fillId="0" borderId="41" xfId="1806" applyFont="1" applyFill="1" applyBorder="1" applyAlignment="1">
      <alignment horizontal="center" vertical="center"/>
    </xf>
    <xf numFmtId="0" fontId="18" fillId="0" borderId="4" xfId="1806" applyFont="1" applyFill="1" applyBorder="1" applyAlignment="1">
      <alignment horizontal="left" vertical="center" wrapText="1"/>
    </xf>
    <xf numFmtId="202" fontId="0" fillId="0" borderId="5" xfId="1806" applyNumberFormat="1" applyFont="1" applyFill="1" applyBorder="1" applyAlignment="1">
      <alignment horizontal="right" vertical="center"/>
    </xf>
    <xf numFmtId="0" fontId="0" fillId="0" borderId="4" xfId="1806" applyFont="1" applyFill="1" applyBorder="1" applyAlignment="1">
      <alignment horizontal="left" vertical="center" wrapText="1"/>
    </xf>
    <xf numFmtId="202" fontId="0" fillId="0" borderId="5" xfId="1806" applyNumberFormat="1" applyFont="1" applyFill="1" applyBorder="1" applyAlignment="1" applyProtection="1">
      <alignment horizontal="right" vertical="center"/>
    </xf>
    <xf numFmtId="0" fontId="10" fillId="0" borderId="4" xfId="1806" applyFont="1" applyFill="1" applyBorder="1" applyAlignment="1">
      <alignment horizontal="left" vertical="center" wrapText="1"/>
    </xf>
    <xf numFmtId="0" fontId="8" fillId="0" borderId="4" xfId="1806" applyFont="1" applyFill="1" applyBorder="1" applyAlignment="1">
      <alignment horizontal="left" vertical="center" wrapText="1"/>
    </xf>
    <xf numFmtId="0" fontId="0" fillId="0" borderId="8" xfId="1806" applyFont="1" applyFill="1" applyBorder="1" applyAlignment="1">
      <alignment horizontal="left" vertical="center" wrapText="1"/>
    </xf>
    <xf numFmtId="202" fontId="0" fillId="0" borderId="9" xfId="1806" applyNumberFormat="1" applyFont="1" applyFill="1" applyBorder="1" applyAlignment="1" applyProtection="1">
      <alignment horizontal="right" vertical="center"/>
    </xf>
    <xf numFmtId="0" fontId="0" fillId="0" borderId="40" xfId="1806" applyFont="1" applyFill="1" applyBorder="1" applyAlignment="1">
      <alignment horizontal="center" vertical="center"/>
    </xf>
    <xf numFmtId="202" fontId="0" fillId="0" borderId="6" xfId="1806" applyNumberFormat="1" applyFont="1" applyFill="1" applyBorder="1" applyAlignment="1">
      <alignment horizontal="right" vertical="center"/>
    </xf>
    <xf numFmtId="208" fontId="0" fillId="0" borderId="6" xfId="1806" applyNumberFormat="1" applyFont="1" applyFill="1" applyBorder="1" applyAlignment="1">
      <alignment horizontal="right" vertical="center"/>
    </xf>
    <xf numFmtId="208" fontId="0" fillId="0" borderId="10" xfId="1806" applyNumberFormat="1" applyFont="1" applyFill="1" applyBorder="1" applyAlignment="1">
      <alignment horizontal="right" vertical="center"/>
    </xf>
    <xf numFmtId="0" fontId="0" fillId="3" borderId="0" xfId="3471" applyFont="1" applyFill="1" applyAlignment="1">
      <alignment horizontal="center"/>
    </xf>
    <xf numFmtId="0" fontId="0" fillId="3" borderId="0" xfId="3471" applyFont="1" applyFill="1" applyAlignment="1">
      <alignment horizontal="center" vertical="center"/>
    </xf>
    <xf numFmtId="0" fontId="27" fillId="3" borderId="0" xfId="3471" applyFont="1" applyFill="1" applyBorder="1" applyAlignment="1">
      <alignment horizontal="center" vertical="center"/>
    </xf>
    <xf numFmtId="0" fontId="4" fillId="3" borderId="0" xfId="3471" applyFont="1" applyFill="1" applyBorder="1" applyAlignment="1">
      <alignment horizontal="center" vertical="center"/>
    </xf>
    <xf numFmtId="0" fontId="0" fillId="3" borderId="43" xfId="3471" applyFont="1" applyFill="1" applyBorder="1" applyAlignment="1">
      <alignment horizontal="center" vertical="center"/>
    </xf>
    <xf numFmtId="0" fontId="0" fillId="3" borderId="46" xfId="3471" applyFont="1" applyFill="1" applyBorder="1" applyAlignment="1">
      <alignment horizontal="center" vertical="center"/>
    </xf>
    <xf numFmtId="0" fontId="0" fillId="3" borderId="47" xfId="3471" applyFont="1" applyFill="1" applyBorder="1" applyAlignment="1">
      <alignment horizontal="center" vertical="center"/>
    </xf>
    <xf numFmtId="0" fontId="0" fillId="3" borderId="28" xfId="3471" applyFont="1" applyFill="1" applyBorder="1" applyAlignment="1">
      <alignment vertical="center" wrapText="1"/>
    </xf>
    <xf numFmtId="0" fontId="0" fillId="3" borderId="4" xfId="3471" applyFont="1" applyFill="1" applyBorder="1" applyAlignment="1">
      <alignment horizontal="center" vertical="center" wrapText="1"/>
    </xf>
    <xf numFmtId="209" fontId="0" fillId="3" borderId="0" xfId="3471" applyNumberFormat="1" applyFont="1" applyFill="1"/>
    <xf numFmtId="202" fontId="0" fillId="3" borderId="38" xfId="3471" applyNumberFormat="1" applyFont="1" applyFill="1" applyBorder="1"/>
    <xf numFmtId="0" fontId="0" fillId="3" borderId="4" xfId="3471" applyFont="1" applyFill="1" applyBorder="1" applyAlignment="1">
      <alignment vertical="center" wrapText="1"/>
    </xf>
    <xf numFmtId="202" fontId="0" fillId="3" borderId="6" xfId="3471" applyNumberFormat="1" applyFont="1" applyFill="1" applyBorder="1"/>
    <xf numFmtId="0" fontId="0" fillId="3" borderId="4" xfId="3471" applyNumberFormat="1" applyFont="1" applyFill="1" applyBorder="1" applyAlignment="1">
      <alignment horizontal="left" vertical="center" wrapText="1"/>
    </xf>
    <xf numFmtId="0" fontId="0" fillId="3" borderId="4" xfId="3471" applyNumberFormat="1" applyFont="1" applyFill="1" applyBorder="1" applyAlignment="1">
      <alignment horizontal="center"/>
    </xf>
    <xf numFmtId="0" fontId="0" fillId="3" borderId="4" xfId="3471" applyFont="1" applyFill="1" applyBorder="1" applyAlignment="1">
      <alignment horizontal="center"/>
    </xf>
    <xf numFmtId="0" fontId="0" fillId="3" borderId="4" xfId="3471" applyNumberFormat="1" applyFont="1" applyFill="1" applyBorder="1" applyAlignment="1"/>
    <xf numFmtId="190" fontId="0" fillId="3" borderId="6" xfId="246" applyNumberFormat="1" applyFont="1" applyFill="1" applyBorder="1" applyAlignment="1">
      <alignment horizontal="center" vertical="center"/>
    </xf>
    <xf numFmtId="202" fontId="0" fillId="3" borderId="6" xfId="3506" applyNumberFormat="1" applyFont="1" applyFill="1" applyBorder="1" applyAlignment="1" applyProtection="1">
      <alignment horizontal="center" vertical="center"/>
    </xf>
    <xf numFmtId="184" fontId="0" fillId="3" borderId="6" xfId="246" applyNumberFormat="1" applyFont="1" applyFill="1" applyBorder="1" applyAlignment="1">
      <alignment horizontal="center" vertical="center"/>
    </xf>
    <xf numFmtId="0" fontId="0" fillId="3" borderId="8" xfId="3471" applyFont="1" applyFill="1" applyBorder="1" applyAlignment="1">
      <alignment vertical="center" wrapText="1"/>
    </xf>
    <xf numFmtId="0" fontId="0" fillId="3" borderId="9" xfId="3471" applyFont="1" applyFill="1" applyBorder="1" applyAlignment="1">
      <alignment horizontal="center" vertical="center" wrapText="1"/>
    </xf>
    <xf numFmtId="190" fontId="0" fillId="3" borderId="9" xfId="246" applyNumberFormat="1" applyFont="1" applyFill="1" applyBorder="1" applyAlignment="1">
      <alignment horizontal="center" vertical="center"/>
    </xf>
    <xf numFmtId="202" fontId="0" fillId="3" borderId="10" xfId="3506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vertical="top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1732" applyFont="1" applyAlignment="1">
      <alignment horizontal="center"/>
    </xf>
    <xf numFmtId="198" fontId="0" fillId="0" borderId="0" xfId="1732" applyNumberFormat="1" applyFont="1" applyAlignment="1">
      <alignment horizontal="center" vertical="center"/>
    </xf>
    <xf numFmtId="0" fontId="27" fillId="0" borderId="0" xfId="1732" applyFont="1" applyAlignment="1">
      <alignment horizontal="center" vertical="center"/>
    </xf>
    <xf numFmtId="0" fontId="0" fillId="0" borderId="0" xfId="1732" applyFont="1" applyAlignment="1">
      <alignment horizontal="center" vertical="center"/>
    </xf>
    <xf numFmtId="0" fontId="0" fillId="0" borderId="45" xfId="1732" applyFont="1" applyBorder="1" applyAlignment="1">
      <alignment horizontal="center" vertical="center"/>
    </xf>
    <xf numFmtId="198" fontId="0" fillId="0" borderId="46" xfId="1732" applyNumberFormat="1" applyFont="1" applyBorder="1" applyAlignment="1">
      <alignment horizontal="center" vertical="center" wrapText="1"/>
    </xf>
    <xf numFmtId="181" fontId="10" fillId="0" borderId="28" xfId="246" applyFont="1" applyFill="1" applyBorder="1" applyAlignment="1">
      <alignment horizontal="left" vertical="center"/>
    </xf>
    <xf numFmtId="209" fontId="16" fillId="0" borderId="0" xfId="1732" applyNumberFormat="1" applyFont="1"/>
    <xf numFmtId="202" fontId="16" fillId="0" borderId="38" xfId="246" applyNumberFormat="1" applyFont="1" applyFill="1" applyBorder="1" applyAlignment="1">
      <alignment horizontal="right" vertical="center"/>
    </xf>
    <xf numFmtId="181" fontId="0" fillId="0" borderId="4" xfId="246" applyFont="1" applyFill="1" applyBorder="1" applyAlignment="1">
      <alignment vertical="center"/>
    </xf>
    <xf numFmtId="202" fontId="16" fillId="0" borderId="6" xfId="246" applyNumberFormat="1" applyFont="1" applyFill="1" applyBorder="1" applyAlignment="1">
      <alignment horizontal="right" vertical="center"/>
    </xf>
    <xf numFmtId="181" fontId="0" fillId="0" borderId="4" xfId="246" applyFont="1" applyFill="1" applyBorder="1" applyAlignment="1">
      <alignment horizontal="left" vertical="center"/>
    </xf>
    <xf numFmtId="181" fontId="10" fillId="0" borderId="4" xfId="246" applyFont="1" applyFill="1" applyBorder="1" applyAlignment="1">
      <alignment horizontal="left" vertical="center"/>
    </xf>
    <xf numFmtId="184" fontId="16" fillId="0" borderId="8" xfId="246" applyNumberFormat="1" applyFont="1" applyFill="1" applyBorder="1" applyAlignment="1">
      <alignment horizontal="left" vertical="center"/>
    </xf>
    <xf numFmtId="202" fontId="16" fillId="0" borderId="10" xfId="246" applyNumberFormat="1" applyFont="1" applyFill="1" applyBorder="1" applyAlignment="1">
      <alignment horizontal="right" vertical="center"/>
    </xf>
    <xf numFmtId="198" fontId="0" fillId="0" borderId="0" xfId="0" applyNumberFormat="1" applyFont="1" applyAlignment="1"/>
    <xf numFmtId="0" fontId="0" fillId="0" borderId="0" xfId="1730" applyFont="1" applyAlignment="1">
      <alignment horizontal="center"/>
    </xf>
    <xf numFmtId="198" fontId="0" fillId="0" borderId="0" xfId="1730" applyNumberFormat="1" applyFont="1" applyAlignment="1">
      <alignment horizontal="center" vertical="center"/>
    </xf>
    <xf numFmtId="0" fontId="27" fillId="0" borderId="0" xfId="1730" applyFont="1" applyAlignment="1">
      <alignment horizontal="center" vertical="center"/>
    </xf>
    <xf numFmtId="0" fontId="0" fillId="0" borderId="0" xfId="1730" applyFont="1" applyAlignment="1">
      <alignment horizontal="center" vertical="center"/>
    </xf>
    <xf numFmtId="0" fontId="0" fillId="0" borderId="45" xfId="1730" applyFont="1" applyBorder="1" applyAlignment="1">
      <alignment horizontal="center" vertical="center"/>
    </xf>
    <xf numFmtId="0" fontId="0" fillId="0" borderId="46" xfId="1730" applyFont="1" applyBorder="1" applyAlignment="1">
      <alignment horizontal="center" vertical="center"/>
    </xf>
    <xf numFmtId="0" fontId="0" fillId="0" borderId="4" xfId="1730" applyFont="1" applyFill="1" applyBorder="1" applyAlignment="1">
      <alignment vertical="center" wrapText="1"/>
    </xf>
    <xf numFmtId="209" fontId="0" fillId="0" borderId="25" xfId="1730" applyNumberFormat="1" applyFont="1" applyBorder="1"/>
    <xf numFmtId="202" fontId="0" fillId="0" borderId="0" xfId="1730" applyNumberFormat="1" applyFont="1" applyFill="1" applyAlignment="1">
      <alignment horizontal="right" vertical="center"/>
    </xf>
    <xf numFmtId="0" fontId="0" fillId="0" borderId="4" xfId="1730" applyFont="1" applyBorder="1" applyAlignment="1">
      <alignment vertical="center" wrapText="1"/>
    </xf>
    <xf numFmtId="0" fontId="0" fillId="2" borderId="4" xfId="1730" applyFont="1" applyFill="1" applyBorder="1" applyAlignment="1">
      <alignment vertical="center" wrapText="1"/>
    </xf>
    <xf numFmtId="0" fontId="0" fillId="0" borderId="4" xfId="1730" applyFont="1" applyFill="1" applyBorder="1" applyAlignment="1">
      <alignment horizontal="left" vertical="center" wrapText="1"/>
    </xf>
    <xf numFmtId="202" fontId="0" fillId="0" borderId="0" xfId="1730" applyNumberFormat="1" applyFont="1" applyFill="1" applyBorder="1" applyAlignment="1">
      <alignment horizontal="right" vertical="center"/>
    </xf>
    <xf numFmtId="202" fontId="0" fillId="0" borderId="1" xfId="1730" applyNumberFormat="1" applyFont="1" applyFill="1" applyBorder="1" applyAlignment="1">
      <alignment horizontal="right" vertical="center"/>
    </xf>
    <xf numFmtId="0" fontId="0" fillId="0" borderId="0" xfId="1727" applyFont="1"/>
    <xf numFmtId="0" fontId="0" fillId="0" borderId="0" xfId="1727" applyFont="1" applyAlignment="1">
      <alignment horizontal="center" vertical="center"/>
    </xf>
    <xf numFmtId="0" fontId="27" fillId="0" borderId="0" xfId="1727" applyFont="1" applyAlignment="1">
      <alignment horizontal="center" vertical="center"/>
    </xf>
    <xf numFmtId="0" fontId="0" fillId="0" borderId="0" xfId="1727" applyFont="1" applyAlignment="1">
      <alignment horizontal="center" vertical="center"/>
    </xf>
    <xf numFmtId="0" fontId="0" fillId="0" borderId="45" xfId="3505" applyFont="1" applyBorder="1" applyAlignment="1">
      <alignment horizontal="center" vertical="center"/>
    </xf>
    <xf numFmtId="0" fontId="0" fillId="0" borderId="47" xfId="3505" applyFont="1" applyBorder="1" applyAlignment="1">
      <alignment horizontal="center" vertical="center"/>
    </xf>
    <xf numFmtId="0" fontId="10" fillId="0" borderId="0" xfId="1727" applyFont="1" applyBorder="1" applyAlignment="1">
      <alignment vertical="center" wrapText="1"/>
    </xf>
    <xf numFmtId="209" fontId="0" fillId="0" borderId="21" xfId="1727" applyNumberFormat="1" applyFont="1" applyBorder="1"/>
    <xf numFmtId="202" fontId="0" fillId="0" borderId="20" xfId="1727" applyNumberFormat="1" applyFont="1" applyFill="1" applyBorder="1" applyAlignment="1">
      <alignment horizontal="right" vertical="center"/>
    </xf>
    <xf numFmtId="0" fontId="0" fillId="0" borderId="0" xfId="1727" applyFont="1" applyBorder="1" applyAlignment="1">
      <alignment vertical="center" wrapText="1"/>
    </xf>
    <xf numFmtId="0" fontId="10" fillId="0" borderId="0" xfId="1727" applyFont="1" applyFill="1" applyBorder="1" applyAlignment="1">
      <alignment horizontal="left"/>
    </xf>
    <xf numFmtId="181" fontId="0" fillId="0" borderId="0" xfId="246" applyFont="1" applyFill="1" applyBorder="1" applyAlignment="1">
      <alignment vertical="center"/>
    </xf>
    <xf numFmtId="181" fontId="0" fillId="0" borderId="0" xfId="246" applyFont="1" applyFill="1" applyBorder="1" applyAlignment="1">
      <alignment horizontal="left" vertical="center"/>
    </xf>
    <xf numFmtId="181" fontId="0" fillId="0" borderId="1" xfId="246" applyFont="1" applyFill="1" applyBorder="1" applyAlignment="1">
      <alignment horizontal="left" vertical="center"/>
    </xf>
    <xf numFmtId="209" fontId="0" fillId="0" borderId="49" xfId="1727" applyNumberFormat="1" applyFont="1" applyBorder="1"/>
    <xf numFmtId="202" fontId="0" fillId="0" borderId="50" xfId="1727" applyNumberFormat="1" applyFont="1" applyFill="1" applyBorder="1" applyAlignment="1">
      <alignment horizontal="right" vertical="center"/>
    </xf>
    <xf numFmtId="0" fontId="10" fillId="0" borderId="0" xfId="3505" applyFont="1" applyFill="1">
      <alignment vertical="center"/>
    </xf>
    <xf numFmtId="0" fontId="0" fillId="0" borderId="0" xfId="3505" applyFont="1" applyFill="1">
      <alignment vertical="center"/>
    </xf>
    <xf numFmtId="0" fontId="0" fillId="0" borderId="0" xfId="3505" applyFont="1" applyFill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45" xfId="3505" applyFont="1" applyFill="1" applyBorder="1" applyAlignment="1">
      <alignment horizontal="center" vertical="center"/>
    </xf>
    <xf numFmtId="0" fontId="0" fillId="0" borderId="46" xfId="3505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0" xfId="3505" applyFont="1" applyFill="1" applyBorder="1" applyAlignment="1">
      <alignment horizontal="left" vertical="center" wrapText="1"/>
    </xf>
    <xf numFmtId="0" fontId="0" fillId="0" borderId="35" xfId="3505" applyFont="1" applyFill="1" applyBorder="1" applyAlignment="1">
      <alignment horizontal="center" vertical="center" wrapText="1"/>
    </xf>
    <xf numFmtId="198" fontId="0" fillId="0" borderId="35" xfId="3505" applyNumberFormat="1" applyFont="1" applyFill="1" applyBorder="1" applyAlignment="1">
      <alignment horizontal="center" vertical="center"/>
    </xf>
    <xf numFmtId="202" fontId="0" fillId="0" borderId="38" xfId="0" applyNumberFormat="1" applyFont="1" applyFill="1" applyBorder="1" applyAlignment="1">
      <alignment horizontal="center" vertical="center"/>
    </xf>
    <xf numFmtId="190" fontId="10" fillId="0" borderId="0" xfId="3505" applyNumberFormat="1" applyFont="1" applyFill="1">
      <alignment vertical="center"/>
    </xf>
    <xf numFmtId="184" fontId="10" fillId="0" borderId="0" xfId="3505" applyNumberFormat="1" applyFont="1" applyFill="1">
      <alignment vertical="center"/>
    </xf>
    <xf numFmtId="0" fontId="0" fillId="0" borderId="5" xfId="3505" applyFont="1" applyFill="1" applyBorder="1" applyAlignment="1">
      <alignment horizontal="center" vertical="center" wrapText="1"/>
    </xf>
    <xf numFmtId="198" fontId="0" fillId="0" borderId="5" xfId="3505" applyNumberFormat="1" applyFont="1" applyFill="1" applyBorder="1" applyAlignment="1">
      <alignment horizontal="center" vertical="center"/>
    </xf>
    <xf numFmtId="202" fontId="0" fillId="0" borderId="6" xfId="0" applyNumberFormat="1" applyFont="1" applyFill="1" applyBorder="1" applyAlignment="1">
      <alignment horizontal="center" vertical="center"/>
    </xf>
    <xf numFmtId="198" fontId="10" fillId="0" borderId="0" xfId="3505" applyNumberFormat="1" applyFont="1" applyFill="1">
      <alignment vertical="center"/>
    </xf>
    <xf numFmtId="184" fontId="0" fillId="0" borderId="0" xfId="3505" applyNumberFormat="1" applyFont="1" applyFill="1">
      <alignment vertical="center"/>
    </xf>
    <xf numFmtId="0" fontId="0" fillId="0" borderId="0" xfId="3505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8" fontId="10" fillId="0" borderId="0" xfId="22" applyNumberFormat="1" applyFont="1" applyFill="1" applyBorder="1" applyAlignment="1" applyProtection="1">
      <alignment vertical="center"/>
    </xf>
    <xf numFmtId="0" fontId="0" fillId="0" borderId="0" xfId="3505" applyFont="1" applyFill="1" applyBorder="1" applyAlignment="1">
      <alignment vertical="center"/>
    </xf>
    <xf numFmtId="209" fontId="0" fillId="0" borderId="0" xfId="3505" applyNumberFormat="1" applyFont="1" applyFill="1">
      <alignment vertical="center"/>
    </xf>
    <xf numFmtId="0" fontId="0" fillId="0" borderId="0" xfId="3505" applyFont="1" applyFill="1" applyBorder="1">
      <alignment vertical="center"/>
    </xf>
    <xf numFmtId="0" fontId="0" fillId="0" borderId="5" xfId="3505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202" fontId="0" fillId="0" borderId="6" xfId="0" applyNumberFormat="1" applyFont="1" applyFill="1" applyBorder="1" applyAlignment="1">
      <alignment horizontal="center" vertical="center"/>
    </xf>
    <xf numFmtId="190" fontId="0" fillId="0" borderId="0" xfId="3505" applyNumberFormat="1" applyFont="1" applyFill="1">
      <alignment vertical="center"/>
    </xf>
    <xf numFmtId="209" fontId="0" fillId="0" borderId="5" xfId="0" applyNumberFormat="1" applyFont="1" applyFill="1" applyBorder="1" applyAlignment="1">
      <alignment horizontal="center" vertical="center"/>
    </xf>
    <xf numFmtId="0" fontId="0" fillId="0" borderId="8" xfId="3505" applyFont="1" applyFill="1" applyBorder="1">
      <alignment vertical="center"/>
    </xf>
    <xf numFmtId="0" fontId="0" fillId="0" borderId="9" xfId="3505" applyFont="1" applyFill="1" applyBorder="1" applyAlignment="1">
      <alignment horizontal="center" vertical="center" wrapText="1"/>
    </xf>
    <xf numFmtId="198" fontId="0" fillId="0" borderId="9" xfId="3505" applyNumberFormat="1" applyFont="1" applyFill="1" applyBorder="1" applyAlignment="1">
      <alignment horizontal="center" vertical="center"/>
    </xf>
    <xf numFmtId="202" fontId="0" fillId="0" borderId="10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0" fillId="0" borderId="45" xfId="1723" applyFont="1" applyFill="1" applyBorder="1" applyAlignment="1">
      <alignment horizontal="center" vertical="center"/>
    </xf>
    <xf numFmtId="0" fontId="0" fillId="0" borderId="46" xfId="1723" applyFont="1" applyFill="1" applyBorder="1" applyAlignment="1">
      <alignment horizontal="center" vertical="center"/>
    </xf>
    <xf numFmtId="0" fontId="0" fillId="0" borderId="45" xfId="1723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1723" applyFont="1" applyFill="1" applyBorder="1" applyAlignment="1">
      <alignment vertical="center"/>
    </xf>
    <xf numFmtId="0" fontId="0" fillId="0" borderId="6" xfId="1723" applyFont="1" applyFill="1" applyBorder="1" applyAlignment="1">
      <alignment vertical="center"/>
    </xf>
    <xf numFmtId="190" fontId="0" fillId="0" borderId="35" xfId="1723" applyNumberFormat="1" applyFont="1" applyFill="1" applyBorder="1" applyAlignment="1">
      <alignment vertical="center"/>
    </xf>
    <xf numFmtId="202" fontId="0" fillId="0" borderId="0" xfId="1723" applyNumberFormat="1" applyFont="1" applyFill="1" applyBorder="1" applyAlignment="1">
      <alignment vertical="center"/>
    </xf>
    <xf numFmtId="0" fontId="0" fillId="0" borderId="0" xfId="1723" applyFont="1" applyFill="1" applyBorder="1" applyAlignment="1">
      <alignment horizontal="left" vertical="center" wrapText="1"/>
    </xf>
    <xf numFmtId="0" fontId="0" fillId="0" borderId="6" xfId="1723" applyFont="1" applyFill="1" applyBorder="1" applyAlignment="1">
      <alignment horizontal="center" vertical="center" wrapText="1"/>
    </xf>
    <xf numFmtId="0" fontId="0" fillId="0" borderId="5" xfId="19" applyNumberFormat="1" applyFont="1" applyFill="1" applyBorder="1" applyAlignment="1">
      <alignment vertical="center"/>
    </xf>
    <xf numFmtId="0" fontId="0" fillId="0" borderId="0" xfId="1723" applyFont="1" applyFill="1" applyBorder="1" applyAlignment="1">
      <alignment horizontal="left" vertical="center"/>
    </xf>
    <xf numFmtId="202" fontId="0" fillId="0" borderId="0" xfId="1723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right" wrapText="1"/>
    </xf>
    <xf numFmtId="43" fontId="0" fillId="0" borderId="5" xfId="19" applyFont="1" applyFill="1" applyBorder="1" applyAlignment="1">
      <alignment vertical="center"/>
    </xf>
    <xf numFmtId="0" fontId="0" fillId="0" borderId="4" xfId="1723" applyFont="1" applyFill="1" applyBorder="1" applyAlignment="1">
      <alignment horizontal="left" vertical="center" wrapText="1"/>
    </xf>
    <xf numFmtId="0" fontId="0" fillId="0" borderId="6" xfId="1723" applyFont="1" applyFill="1" applyBorder="1" applyAlignment="1">
      <alignment horizontal="center" vertical="center"/>
    </xf>
    <xf numFmtId="190" fontId="0" fillId="0" borderId="5" xfId="1723" applyNumberFormat="1" applyFont="1" applyFill="1" applyBorder="1" applyAlignment="1">
      <alignment vertical="center"/>
    </xf>
    <xf numFmtId="0" fontId="0" fillId="0" borderId="0" xfId="1723" applyFont="1" applyFill="1" applyBorder="1" applyAlignment="1">
      <alignment vertical="center" wrapText="1"/>
    </xf>
    <xf numFmtId="184" fontId="11" fillId="0" borderId="0" xfId="0" applyNumberFormat="1" applyFont="1" applyFill="1" applyBorder="1" applyAlignment="1">
      <alignment horizontal="right" wrapText="1"/>
    </xf>
    <xf numFmtId="0" fontId="11" fillId="0" borderId="0" xfId="0" applyFont="1" applyFill="1" applyBorder="1" applyAlignment="1">
      <alignment wrapText="1"/>
    </xf>
    <xf numFmtId="184" fontId="0" fillId="0" borderId="5" xfId="1723" applyNumberFormat="1" applyFont="1" applyFill="1" applyBorder="1" applyAlignment="1">
      <alignment vertical="center" wrapText="1"/>
    </xf>
    <xf numFmtId="202" fontId="0" fillId="0" borderId="0" xfId="1723" applyNumberFormat="1" applyFont="1" applyFill="1" applyBorder="1" applyAlignment="1">
      <alignment vertical="center" wrapText="1"/>
    </xf>
    <xf numFmtId="0" fontId="0" fillId="0" borderId="8" xfId="1723" applyFont="1" applyFill="1" applyBorder="1" applyAlignment="1">
      <alignment vertical="center" wrapText="1"/>
    </xf>
    <xf numFmtId="0" fontId="0" fillId="0" borderId="10" xfId="1723" applyFont="1" applyFill="1" applyBorder="1" applyAlignment="1">
      <alignment horizontal="center" vertical="center" wrapText="1"/>
    </xf>
    <xf numFmtId="209" fontId="0" fillId="0" borderId="9" xfId="19" applyNumberFormat="1" applyFont="1" applyFill="1" applyBorder="1" applyAlignment="1">
      <alignment vertical="center"/>
    </xf>
    <xf numFmtId="202" fontId="0" fillId="0" borderId="1" xfId="1723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0" fillId="0" borderId="0" xfId="3505" applyFont="1">
      <alignment vertical="center"/>
    </xf>
    <xf numFmtId="0" fontId="0" fillId="0" borderId="0" xfId="3505" applyFont="1">
      <alignment vertical="center"/>
    </xf>
    <xf numFmtId="0" fontId="0" fillId="0" borderId="0" xfId="3505" applyFont="1" applyAlignment="1">
      <alignment horizontal="right" vertical="center"/>
    </xf>
    <xf numFmtId="0" fontId="3" fillId="0" borderId="1" xfId="3505" applyFont="1" applyBorder="1" applyAlignment="1">
      <alignment horizontal="center" vertical="center"/>
    </xf>
    <xf numFmtId="0" fontId="0" fillId="0" borderId="51" xfId="3505" applyFont="1" applyBorder="1" applyAlignment="1">
      <alignment horizontal="center" vertical="center"/>
    </xf>
    <xf numFmtId="0" fontId="0" fillId="0" borderId="46" xfId="726" applyFont="1" applyBorder="1" applyAlignment="1">
      <alignment horizontal="center" vertical="center"/>
    </xf>
    <xf numFmtId="0" fontId="8" fillId="0" borderId="45" xfId="3505" applyFont="1" applyBorder="1" applyAlignment="1">
      <alignment horizontal="center" vertical="center"/>
    </xf>
    <xf numFmtId="0" fontId="0" fillId="0" borderId="28" xfId="3505" applyFont="1" applyBorder="1" applyAlignment="1">
      <alignment horizontal="left" vertical="center" wrapText="1"/>
    </xf>
    <xf numFmtId="209" fontId="25" fillId="0" borderId="35" xfId="726" applyNumberFormat="1" applyFont="1" applyFill="1" applyBorder="1" applyAlignment="1">
      <alignment horizontal="right" vertical="center"/>
    </xf>
    <xf numFmtId="202" fontId="25" fillId="0" borderId="38" xfId="726" applyNumberFormat="1" applyFont="1" applyFill="1" applyBorder="1" applyAlignment="1">
      <alignment horizontal="right" vertical="center"/>
    </xf>
    <xf numFmtId="0" fontId="0" fillId="0" borderId="4" xfId="3505" applyFont="1" applyBorder="1" applyAlignment="1">
      <alignment horizontal="left" vertical="center" wrapText="1"/>
    </xf>
    <xf numFmtId="209" fontId="25" fillId="0" borderId="5" xfId="726" applyNumberFormat="1" applyFont="1" applyFill="1" applyBorder="1" applyAlignment="1">
      <alignment horizontal="right" vertical="center"/>
    </xf>
    <xf numFmtId="202" fontId="25" fillId="0" borderId="6" xfId="726" applyNumberFormat="1" applyFont="1" applyFill="1" applyBorder="1" applyAlignment="1">
      <alignment horizontal="right" vertical="center"/>
    </xf>
    <xf numFmtId="0" fontId="0" fillId="0" borderId="4" xfId="3505" applyFont="1" applyBorder="1" applyAlignment="1">
      <alignment vertical="center" wrapText="1"/>
    </xf>
    <xf numFmtId="0" fontId="0" fillId="0" borderId="4" xfId="3505" applyFont="1" applyBorder="1" applyAlignment="1">
      <alignment vertical="center"/>
    </xf>
    <xf numFmtId="0" fontId="0" fillId="0" borderId="2" xfId="3505" applyFont="1" applyBorder="1" applyAlignment="1">
      <alignment vertical="center"/>
    </xf>
    <xf numFmtId="209" fontId="25" fillId="0" borderId="7" xfId="726" applyNumberFormat="1" applyFont="1" applyFill="1" applyBorder="1" applyAlignment="1">
      <alignment horizontal="right" vertical="center"/>
    </xf>
    <xf numFmtId="202" fontId="25" fillId="0" borderId="13" xfId="726" applyNumberFormat="1" applyFont="1" applyFill="1" applyBorder="1" applyAlignment="1">
      <alignment horizontal="right" vertical="center"/>
    </xf>
    <xf numFmtId="0" fontId="0" fillId="0" borderId="0" xfId="3505" applyFont="1" applyFill="1" applyAlignment="1">
      <alignment vertical="center"/>
    </xf>
    <xf numFmtId="0" fontId="34" fillId="0" borderId="1" xfId="3505" applyFont="1" applyFill="1" applyBorder="1" applyAlignment="1">
      <alignment horizontal="center" vertical="center"/>
    </xf>
    <xf numFmtId="0" fontId="0" fillId="0" borderId="2" xfId="3505" applyFont="1" applyFill="1" applyBorder="1" applyAlignment="1">
      <alignment horizontal="center" vertical="center"/>
    </xf>
    <xf numFmtId="0" fontId="0" fillId="0" borderId="51" xfId="3505" applyFont="1" applyFill="1" applyBorder="1" applyAlignment="1">
      <alignment horizontal="center" vertical="center"/>
    </xf>
    <xf numFmtId="49" fontId="0" fillId="0" borderId="47" xfId="3507" applyNumberFormat="1" applyFont="1" applyFill="1" applyBorder="1" applyAlignment="1">
      <alignment horizontal="center" vertical="center" wrapText="1"/>
    </xf>
    <xf numFmtId="0" fontId="0" fillId="0" borderId="46" xfId="3470" applyFont="1" applyFill="1" applyBorder="1" applyAlignment="1">
      <alignment horizontal="center" vertical="center"/>
    </xf>
    <xf numFmtId="0" fontId="0" fillId="0" borderId="4" xfId="3505" applyFont="1" applyFill="1" applyBorder="1" applyAlignment="1">
      <alignment vertical="center" wrapText="1"/>
    </xf>
    <xf numFmtId="0" fontId="0" fillId="0" borderId="4" xfId="3505" applyFont="1" applyFill="1" applyBorder="1" applyAlignment="1">
      <alignment horizontal="center" vertical="center" wrapText="1"/>
    </xf>
    <xf numFmtId="209" fontId="0" fillId="0" borderId="25" xfId="3505" applyNumberFormat="1" applyFont="1" applyFill="1" applyBorder="1">
      <alignment vertical="center"/>
    </xf>
    <xf numFmtId="202" fontId="0" fillId="0" borderId="21" xfId="3505" applyNumberFormat="1" applyFont="1" applyFill="1" applyBorder="1" applyAlignment="1">
      <alignment vertical="center" wrapText="1"/>
    </xf>
    <xf numFmtId="209" fontId="0" fillId="0" borderId="21" xfId="3505" applyNumberFormat="1" applyFont="1" applyFill="1" applyBorder="1">
      <alignment vertical="center"/>
    </xf>
    <xf numFmtId="202" fontId="0" fillId="0" borderId="20" xfId="3506" applyNumberFormat="1" applyFont="1" applyFill="1" applyBorder="1" applyAlignment="1" applyProtection="1">
      <alignment horizontal="right" vertical="center"/>
    </xf>
    <xf numFmtId="0" fontId="0" fillId="0" borderId="4" xfId="3505" applyFont="1" applyFill="1" applyBorder="1" applyAlignment="1">
      <alignment vertical="center" wrapText="1"/>
    </xf>
    <xf numFmtId="0" fontId="0" fillId="0" borderId="4" xfId="3505" applyFont="1" applyFill="1" applyBorder="1" applyAlignment="1">
      <alignment horizontal="left" vertical="center" wrapText="1"/>
    </xf>
    <xf numFmtId="184" fontId="0" fillId="0" borderId="25" xfId="3505" applyNumberFormat="1" applyFont="1" applyFill="1" applyBorder="1">
      <alignment vertical="center"/>
    </xf>
    <xf numFmtId="184" fontId="0" fillId="0" borderId="21" xfId="3505" applyNumberFormat="1" applyFont="1" applyFill="1" applyBorder="1">
      <alignment vertical="center"/>
    </xf>
    <xf numFmtId="209" fontId="0" fillId="0" borderId="0" xfId="3505" applyNumberFormat="1" applyFont="1" applyFill="1" applyAlignment="1">
      <alignment horizontal="left" vertical="center"/>
    </xf>
    <xf numFmtId="0" fontId="0" fillId="0" borderId="8" xfId="3505" applyFont="1" applyFill="1" applyBorder="1" applyAlignment="1">
      <alignment vertical="center" wrapText="1"/>
    </xf>
    <xf numFmtId="0" fontId="0" fillId="0" borderId="8" xfId="3505" applyFont="1" applyFill="1" applyBorder="1" applyAlignment="1">
      <alignment horizontal="center" vertical="center" wrapText="1"/>
    </xf>
    <xf numFmtId="209" fontId="0" fillId="0" borderId="52" xfId="3505" applyNumberFormat="1" applyFont="1" applyFill="1" applyBorder="1">
      <alignment vertical="center"/>
    </xf>
    <xf numFmtId="202" fontId="0" fillId="0" borderId="53" xfId="3505" applyNumberFormat="1" applyFont="1" applyFill="1" applyBorder="1" applyAlignment="1">
      <alignment vertical="center" wrapText="1"/>
    </xf>
    <xf numFmtId="209" fontId="0" fillId="0" borderId="53" xfId="3505" applyNumberFormat="1" applyFont="1" applyFill="1" applyBorder="1">
      <alignment vertical="center"/>
    </xf>
    <xf numFmtId="202" fontId="0" fillId="0" borderId="48" xfId="3506" applyNumberFormat="1" applyFont="1" applyFill="1" applyBorder="1" applyAlignment="1" applyProtection="1">
      <alignment horizontal="right" vertical="center"/>
    </xf>
    <xf numFmtId="0" fontId="0" fillId="0" borderId="0" xfId="3505" applyFont="1">
      <alignment vertical="center"/>
    </xf>
    <xf numFmtId="0" fontId="0" fillId="0" borderId="0" xfId="3505" applyFont="1" applyAlignment="1">
      <alignment vertical="center"/>
    </xf>
    <xf numFmtId="0" fontId="34" fillId="0" borderId="1" xfId="3505" applyFont="1" applyBorder="1" applyAlignment="1">
      <alignment horizontal="center" vertical="center"/>
    </xf>
    <xf numFmtId="0" fontId="0" fillId="0" borderId="2" xfId="3505" applyFont="1" applyBorder="1" applyAlignment="1">
      <alignment horizontal="center" vertical="center"/>
    </xf>
    <xf numFmtId="49" fontId="0" fillId="0" borderId="47" xfId="3507" applyNumberFormat="1" applyFont="1" applyBorder="1" applyAlignment="1">
      <alignment horizontal="center" vertical="center" wrapText="1"/>
    </xf>
    <xf numFmtId="0" fontId="0" fillId="0" borderId="46" xfId="3461" applyFont="1" applyBorder="1" applyAlignment="1">
      <alignment horizontal="center" vertical="center"/>
    </xf>
    <xf numFmtId="209" fontId="0" fillId="0" borderId="0" xfId="3505" applyNumberFormat="1" applyFont="1">
      <alignment vertical="center"/>
    </xf>
    <xf numFmtId="0" fontId="0" fillId="0" borderId="4" xfId="3505" applyFont="1" applyFill="1" applyBorder="1" applyAlignment="1">
      <alignment vertical="center" wrapText="1"/>
    </xf>
    <xf numFmtId="0" fontId="0" fillId="0" borderId="4" xfId="3505" applyFont="1" applyFill="1" applyBorder="1" applyAlignment="1">
      <alignment horizontal="center" vertical="center" wrapText="1"/>
    </xf>
    <xf numFmtId="209" fontId="0" fillId="0" borderId="25" xfId="3505" applyNumberFormat="1" applyFont="1" applyBorder="1">
      <alignment vertical="center"/>
    </xf>
    <xf numFmtId="202" fontId="0" fillId="0" borderId="21" xfId="3505" applyNumberFormat="1" applyFont="1" applyFill="1" applyBorder="1" applyAlignment="1">
      <alignment vertical="center" wrapText="1"/>
    </xf>
    <xf numFmtId="209" fontId="0" fillId="0" borderId="21" xfId="3505" applyNumberFormat="1" applyFont="1" applyBorder="1">
      <alignment vertical="center"/>
    </xf>
    <xf numFmtId="202" fontId="0" fillId="0" borderId="20" xfId="3506" applyNumberFormat="1" applyFont="1" applyFill="1" applyBorder="1" applyAlignment="1" applyProtection="1">
      <alignment horizontal="right" vertical="center"/>
    </xf>
    <xf numFmtId="0" fontId="0" fillId="0" borderId="4" xfId="3505" applyFont="1" applyBorder="1" applyAlignment="1">
      <alignment horizontal="center" vertical="center" wrapText="1"/>
    </xf>
    <xf numFmtId="202" fontId="0" fillId="0" borderId="21" xfId="3505" applyNumberFormat="1" applyFont="1" applyBorder="1" applyAlignment="1">
      <alignment vertical="center" wrapText="1"/>
    </xf>
    <xf numFmtId="0" fontId="0" fillId="0" borderId="0" xfId="3505" applyFont="1" applyBorder="1" applyAlignment="1">
      <alignment vertical="center" wrapText="1"/>
    </xf>
    <xf numFmtId="0" fontId="0" fillId="0" borderId="5" xfId="3505" applyFont="1" applyFill="1" applyBorder="1" applyAlignment="1">
      <alignment horizontal="center" vertical="center" wrapText="1"/>
    </xf>
    <xf numFmtId="202" fontId="0" fillId="0" borderId="21" xfId="3505" applyNumberFormat="1" applyFont="1" applyBorder="1" applyAlignment="1">
      <alignment horizontal="right" vertical="center" wrapText="1"/>
    </xf>
    <xf numFmtId="209" fontId="0" fillId="0" borderId="0" xfId="3505" applyNumberFormat="1" applyFont="1" applyAlignment="1">
      <alignment horizontal="left" vertical="center"/>
    </xf>
    <xf numFmtId="0" fontId="0" fillId="0" borderId="8" xfId="3505" applyFont="1" applyBorder="1" applyAlignment="1">
      <alignment vertical="center" wrapText="1"/>
    </xf>
    <xf numFmtId="0" fontId="0" fillId="0" borderId="54" xfId="3505" applyFont="1" applyFill="1" applyBorder="1" applyAlignment="1">
      <alignment horizontal="center" vertical="center" wrapText="1"/>
    </xf>
    <xf numFmtId="209" fontId="0" fillId="0" borderId="52" xfId="3505" applyNumberFormat="1" applyFont="1" applyBorder="1">
      <alignment vertical="center"/>
    </xf>
    <xf numFmtId="202" fontId="0" fillId="0" borderId="53" xfId="3505" applyNumberFormat="1" applyFont="1" applyBorder="1" applyAlignment="1">
      <alignment vertical="center" wrapText="1"/>
    </xf>
    <xf numFmtId="209" fontId="0" fillId="0" borderId="53" xfId="3505" applyNumberFormat="1" applyFont="1" applyBorder="1">
      <alignment vertical="center"/>
    </xf>
    <xf numFmtId="202" fontId="0" fillId="0" borderId="48" xfId="3506" applyNumberFormat="1" applyFont="1" applyFill="1" applyBorder="1" applyAlignment="1" applyProtection="1">
      <alignment horizontal="right" vertical="center"/>
    </xf>
    <xf numFmtId="0" fontId="0" fillId="0" borderId="46" xfId="3457" applyFont="1" applyFill="1" applyBorder="1" applyAlignment="1">
      <alignment horizontal="center" vertical="center"/>
    </xf>
    <xf numFmtId="209" fontId="0" fillId="0" borderId="0" xfId="3505" applyNumberFormat="1" applyFont="1" applyFill="1">
      <alignment vertical="center"/>
    </xf>
    <xf numFmtId="202" fontId="0" fillId="0" borderId="5" xfId="3505" applyNumberFormat="1" applyFont="1" applyFill="1" applyBorder="1" applyAlignment="1">
      <alignment vertical="center" wrapText="1"/>
    </xf>
    <xf numFmtId="202" fontId="0" fillId="0" borderId="6" xfId="3506" applyNumberFormat="1" applyFont="1" applyFill="1" applyBorder="1" applyAlignment="1" applyProtection="1">
      <alignment horizontal="right" vertical="center"/>
    </xf>
    <xf numFmtId="209" fontId="0" fillId="0" borderId="5" xfId="3505" applyNumberFormat="1" applyFont="1" applyFill="1" applyBorder="1">
      <alignment vertical="center"/>
    </xf>
    <xf numFmtId="202" fontId="0" fillId="0" borderId="5" xfId="3505" applyNumberFormat="1" applyFont="1" applyFill="1" applyBorder="1" applyAlignment="1">
      <alignment horizontal="right" vertical="center" wrapText="1"/>
    </xf>
    <xf numFmtId="184" fontId="0" fillId="0" borderId="5" xfId="3505" applyNumberFormat="1" applyFont="1" applyFill="1" applyBorder="1" applyAlignment="1">
      <alignment horizontal="right" vertical="center" wrapText="1"/>
    </xf>
    <xf numFmtId="190" fontId="0" fillId="0" borderId="5" xfId="246" applyNumberFormat="1" applyFont="1" applyFill="1" applyBorder="1" applyAlignment="1">
      <alignment horizontal="right" vertical="center"/>
    </xf>
    <xf numFmtId="0" fontId="0" fillId="0" borderId="0" xfId="3505" applyFont="1" applyFill="1">
      <alignment vertical="center"/>
    </xf>
    <xf numFmtId="0" fontId="0" fillId="0" borderId="5" xfId="3505" applyFont="1" applyFill="1" applyBorder="1">
      <alignment vertical="center"/>
    </xf>
    <xf numFmtId="202" fontId="0" fillId="0" borderId="6" xfId="3505" applyNumberFormat="1" applyFont="1" applyFill="1" applyBorder="1">
      <alignment vertical="center"/>
    </xf>
    <xf numFmtId="0" fontId="0" fillId="0" borderId="0" xfId="3505" applyFont="1" applyFill="1" applyBorder="1" applyAlignment="1">
      <alignment horizontal="left" vertical="center" wrapText="1"/>
    </xf>
    <xf numFmtId="0" fontId="0" fillId="0" borderId="5" xfId="3505" applyFont="1" applyFill="1" applyBorder="1" applyAlignment="1">
      <alignment horizontal="center" vertical="center" wrapText="1"/>
    </xf>
    <xf numFmtId="0" fontId="0" fillId="0" borderId="8" xfId="3505" applyFont="1" applyFill="1" applyBorder="1" applyAlignment="1">
      <alignment horizontal="left" vertical="center" wrapText="1"/>
    </xf>
    <xf numFmtId="184" fontId="0" fillId="0" borderId="9" xfId="3505" applyNumberFormat="1" applyFont="1" applyFill="1" applyBorder="1" applyAlignment="1">
      <alignment horizontal="right" vertical="center" wrapText="1"/>
    </xf>
    <xf numFmtId="202" fontId="0" fillId="0" borderId="9" xfId="3505" applyNumberFormat="1" applyFont="1" applyFill="1" applyBorder="1" applyAlignment="1">
      <alignment horizontal="right" vertical="center" wrapText="1"/>
    </xf>
    <xf numFmtId="190" fontId="0" fillId="0" borderId="9" xfId="246" applyNumberFormat="1" applyFont="1" applyFill="1" applyBorder="1" applyAlignment="1">
      <alignment horizontal="right" vertical="center"/>
    </xf>
    <xf numFmtId="202" fontId="0" fillId="0" borderId="10" xfId="3505" applyNumberFormat="1" applyFont="1" applyFill="1" applyBorder="1">
      <alignment vertical="center"/>
    </xf>
    <xf numFmtId="0" fontId="0" fillId="0" borderId="0" xfId="3505" applyFont="1" applyAlignment="1">
      <alignment vertical="center"/>
    </xf>
    <xf numFmtId="0" fontId="0" fillId="0" borderId="55" xfId="3505" applyFont="1" applyBorder="1" applyAlignment="1">
      <alignment horizontal="center" vertical="center"/>
    </xf>
    <xf numFmtId="49" fontId="0" fillId="0" borderId="56" xfId="3507" applyNumberFormat="1" applyFont="1" applyBorder="1" applyAlignment="1">
      <alignment horizontal="center" vertical="center" wrapText="1"/>
    </xf>
    <xf numFmtId="0" fontId="0" fillId="0" borderId="57" xfId="3455" applyFont="1" applyBorder="1" applyAlignment="1">
      <alignment horizontal="center" vertical="center"/>
    </xf>
    <xf numFmtId="209" fontId="0" fillId="0" borderId="0" xfId="3505" applyNumberFormat="1" applyFont="1">
      <alignment vertical="center"/>
    </xf>
    <xf numFmtId="0" fontId="0" fillId="0" borderId="28" xfId="3505" applyFont="1" applyBorder="1" applyAlignment="1">
      <alignment vertical="center" wrapText="1"/>
    </xf>
    <xf numFmtId="209" fontId="0" fillId="0" borderId="58" xfId="3505" applyNumberFormat="1" applyFont="1" applyBorder="1">
      <alignment vertical="center"/>
    </xf>
    <xf numFmtId="202" fontId="0" fillId="0" borderId="59" xfId="3505" applyNumberFormat="1" applyFont="1" applyFill="1" applyBorder="1" applyAlignment="1">
      <alignment vertical="center" wrapText="1"/>
    </xf>
    <xf numFmtId="209" fontId="0" fillId="0" borderId="60" xfId="3505" applyNumberFormat="1" applyFont="1" applyBorder="1">
      <alignment vertical="center"/>
    </xf>
    <xf numFmtId="202" fontId="0" fillId="0" borderId="38" xfId="3506" applyNumberFormat="1" applyFont="1" applyFill="1" applyBorder="1" applyAlignment="1" applyProtection="1">
      <alignment horizontal="right" vertical="center"/>
    </xf>
    <xf numFmtId="209" fontId="0" fillId="0" borderId="20" xfId="3505" applyNumberFormat="1" applyFont="1" applyBorder="1">
      <alignment vertical="center"/>
    </xf>
    <xf numFmtId="184" fontId="0" fillId="0" borderId="0" xfId="3505" applyNumberFormat="1" applyFont="1">
      <alignment vertical="center"/>
    </xf>
    <xf numFmtId="202" fontId="0" fillId="0" borderId="21" xfId="3505" applyNumberFormat="1" applyFont="1" applyFill="1" applyBorder="1" applyAlignment="1">
      <alignment horizontal="right" vertical="center" wrapText="1"/>
    </xf>
    <xf numFmtId="209" fontId="0" fillId="0" borderId="0" xfId="3505" applyNumberFormat="1" applyFont="1" applyAlignment="1">
      <alignment horizontal="left" vertical="center"/>
    </xf>
    <xf numFmtId="202" fontId="0" fillId="0" borderId="53" xfId="3505" applyNumberFormat="1" applyFont="1" applyFill="1" applyBorder="1" applyAlignment="1">
      <alignment vertical="center" wrapText="1"/>
    </xf>
    <xf numFmtId="209" fontId="0" fillId="0" borderId="48" xfId="3505" applyNumberFormat="1" applyFont="1" applyBorder="1">
      <alignment vertical="center"/>
    </xf>
    <xf numFmtId="0" fontId="34" fillId="0" borderId="1" xfId="3505" applyFont="1" applyFill="1" applyBorder="1" applyAlignment="1">
      <alignment horizontal="center" vertical="center"/>
    </xf>
    <xf numFmtId="0" fontId="0" fillId="0" borderId="2" xfId="3505" applyFont="1" applyFill="1" applyBorder="1" applyAlignment="1">
      <alignment horizontal="center" vertical="center"/>
    </xf>
    <xf numFmtId="0" fontId="0" fillId="0" borderId="55" xfId="3505" applyFont="1" applyFill="1" applyBorder="1" applyAlignment="1">
      <alignment horizontal="center" vertical="center"/>
    </xf>
    <xf numFmtId="49" fontId="0" fillId="0" borderId="56" xfId="3507" applyNumberFormat="1" applyFont="1" applyFill="1" applyBorder="1" applyAlignment="1">
      <alignment horizontal="center" vertical="center" wrapText="1"/>
    </xf>
    <xf numFmtId="0" fontId="0" fillId="0" borderId="57" xfId="3460" applyFont="1" applyFill="1" applyBorder="1" applyAlignment="1">
      <alignment horizontal="center" vertical="center"/>
    </xf>
    <xf numFmtId="209" fontId="0" fillId="0" borderId="0" xfId="3505" applyNumberFormat="1" applyFont="1" applyFill="1">
      <alignment vertical="center"/>
    </xf>
    <xf numFmtId="0" fontId="0" fillId="0" borderId="28" xfId="3505" applyFont="1" applyFill="1" applyBorder="1" applyAlignment="1">
      <alignment vertical="center" wrapText="1"/>
    </xf>
    <xf numFmtId="209" fontId="0" fillId="0" borderId="61" xfId="3460" applyNumberFormat="1" applyFont="1" applyBorder="1"/>
    <xf numFmtId="202" fontId="0" fillId="0" borderId="62" xfId="3505" applyNumberFormat="1" applyFont="1" applyFill="1" applyBorder="1" applyAlignment="1">
      <alignment vertical="center" wrapText="1"/>
    </xf>
    <xf numFmtId="209" fontId="0" fillId="0" borderId="62" xfId="3460" applyNumberFormat="1" applyFont="1" applyBorder="1"/>
    <xf numFmtId="202" fontId="0" fillId="0" borderId="63" xfId="3506" applyNumberFormat="1" applyFont="1" applyFill="1" applyBorder="1" applyAlignment="1" applyProtection="1">
      <alignment horizontal="right" vertical="center"/>
    </xf>
    <xf numFmtId="209" fontId="0" fillId="0" borderId="25" xfId="3460" applyNumberFormat="1" applyFont="1" applyBorder="1"/>
    <xf numFmtId="209" fontId="0" fillId="0" borderId="21" xfId="3460" applyNumberFormat="1" applyFont="1" applyBorder="1"/>
    <xf numFmtId="0" fontId="0" fillId="0" borderId="4" xfId="3505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/>
    </xf>
    <xf numFmtId="209" fontId="0" fillId="0" borderId="0" xfId="3505" applyNumberFormat="1" applyFont="1" applyFill="1" applyAlignment="1">
      <alignment horizontal="left" vertical="center"/>
    </xf>
    <xf numFmtId="0" fontId="0" fillId="0" borderId="8" xfId="3505" applyFont="1" applyFill="1" applyBorder="1" applyAlignment="1">
      <alignment vertical="center" wrapText="1"/>
    </xf>
    <xf numFmtId="209" fontId="0" fillId="0" borderId="26" xfId="3460" applyNumberFormat="1" applyFont="1" applyBorder="1"/>
    <xf numFmtId="202" fontId="0" fillId="0" borderId="22" xfId="3505" applyNumberFormat="1" applyFont="1" applyFill="1" applyBorder="1" applyAlignment="1">
      <alignment vertical="center" wrapText="1"/>
    </xf>
    <xf numFmtId="209" fontId="0" fillId="0" borderId="22" xfId="3460" applyNumberFormat="1" applyFont="1" applyBorder="1"/>
    <xf numFmtId="202" fontId="0" fillId="0" borderId="23" xfId="3506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23" fillId="0" borderId="0" xfId="3458" applyFont="1" applyFill="1" applyBorder="1" applyAlignment="1">
      <alignment horizontal="center" vertical="center"/>
    </xf>
    <xf numFmtId="184" fontId="23" fillId="0" borderId="0" xfId="3458" applyNumberFormat="1" applyFont="1" applyFill="1" applyBorder="1" applyAlignment="1">
      <alignment horizontal="center" vertical="center"/>
    </xf>
    <xf numFmtId="0" fontId="0" fillId="0" borderId="51" xfId="3458" applyFont="1" applyFill="1" applyBorder="1" applyAlignment="1">
      <alignment horizontal="center" vertical="center"/>
    </xf>
    <xf numFmtId="0" fontId="0" fillId="0" borderId="46" xfId="3458" applyFont="1" applyFill="1" applyBorder="1" applyAlignment="1">
      <alignment horizontal="center" vertical="center"/>
    </xf>
    <xf numFmtId="184" fontId="0" fillId="0" borderId="46" xfId="3458" applyNumberFormat="1" applyFont="1" applyFill="1" applyBorder="1" applyAlignment="1">
      <alignment horizontal="center" vertical="center"/>
    </xf>
    <xf numFmtId="0" fontId="0" fillId="0" borderId="47" xfId="3458" applyFont="1" applyFill="1" applyBorder="1" applyAlignment="1">
      <alignment horizontal="center" vertical="center"/>
    </xf>
    <xf numFmtId="0" fontId="0" fillId="0" borderId="4" xfId="3458" applyFont="1" applyFill="1" applyBorder="1" applyAlignment="1">
      <alignment vertical="center"/>
    </xf>
    <xf numFmtId="0" fontId="0" fillId="0" borderId="5" xfId="3458" applyFont="1" applyFill="1" applyBorder="1" applyAlignment="1">
      <alignment horizontal="center" vertical="center"/>
    </xf>
    <xf numFmtId="184" fontId="0" fillId="0" borderId="5" xfId="3458" applyNumberFormat="1" applyFont="1" applyFill="1" applyBorder="1" applyAlignment="1">
      <alignment horizontal="right" vertical="center"/>
    </xf>
    <xf numFmtId="202" fontId="0" fillId="0" borderId="6" xfId="3458" applyNumberFormat="1" applyFont="1" applyFill="1" applyBorder="1" applyAlignment="1">
      <alignment horizontal="right" vertical="center"/>
    </xf>
    <xf numFmtId="209" fontId="0" fillId="0" borderId="0" xfId="3458" applyNumberFormat="1" applyFont="1" applyFill="1"/>
    <xf numFmtId="0" fontId="0" fillId="0" borderId="0" xfId="3458" applyFont="1" applyFill="1" applyBorder="1" applyAlignment="1">
      <alignment vertical="center"/>
    </xf>
    <xf numFmtId="209" fontId="0" fillId="0" borderId="5" xfId="3458" applyNumberFormat="1" applyFont="1" applyFill="1" applyBorder="1" applyAlignment="1">
      <alignment horizontal="right" vertical="center"/>
    </xf>
    <xf numFmtId="202" fontId="0" fillId="0" borderId="6" xfId="3458" applyNumberFormat="1" applyFont="1" applyFill="1" applyBorder="1" applyAlignment="1">
      <alignment horizontal="right" vertical="center"/>
    </xf>
    <xf numFmtId="0" fontId="27" fillId="0" borderId="5" xfId="3458" applyFont="1" applyFill="1" applyBorder="1" applyAlignment="1">
      <alignment horizontal="center" vertical="center"/>
    </xf>
    <xf numFmtId="0" fontId="0" fillId="0" borderId="8" xfId="3458" applyFont="1" applyFill="1" applyBorder="1" applyAlignment="1">
      <alignment vertical="center"/>
    </xf>
    <xf numFmtId="0" fontId="0" fillId="0" borderId="9" xfId="3458" applyFont="1" applyFill="1" applyBorder="1" applyAlignment="1">
      <alignment horizontal="center" vertical="center"/>
    </xf>
    <xf numFmtId="209" fontId="0" fillId="0" borderId="9" xfId="3458" applyNumberFormat="1" applyFont="1" applyFill="1" applyBorder="1" applyAlignment="1">
      <alignment horizontal="right" vertical="center"/>
    </xf>
    <xf numFmtId="202" fontId="0" fillId="0" borderId="10" xfId="3458" applyNumberFormat="1" applyFont="1" applyFill="1" applyBorder="1" applyAlignment="1">
      <alignment horizontal="right" vertical="center"/>
    </xf>
    <xf numFmtId="0" fontId="0" fillId="0" borderId="46" xfId="3456" applyFont="1" applyBorder="1" applyAlignment="1">
      <alignment horizontal="center" vertical="center"/>
    </xf>
    <xf numFmtId="0" fontId="0" fillId="0" borderId="0" xfId="3505" applyFont="1" applyFill="1" applyBorder="1" applyAlignment="1">
      <alignment horizontal="left" vertical="center" wrapText="1"/>
    </xf>
    <xf numFmtId="209" fontId="0" fillId="0" borderId="35" xfId="3456" applyNumberFormat="1" applyFont="1" applyBorder="1"/>
    <xf numFmtId="202" fontId="0" fillId="0" borderId="35" xfId="3505" applyNumberFormat="1" applyFont="1" applyFill="1" applyBorder="1" applyAlignment="1">
      <alignment vertical="center" wrapText="1"/>
    </xf>
    <xf numFmtId="202" fontId="25" fillId="0" borderId="38" xfId="3456" applyNumberFormat="1" applyFont="1" applyFill="1" applyBorder="1" applyAlignment="1">
      <alignment horizontal="right" vertical="center"/>
    </xf>
    <xf numFmtId="184" fontId="0" fillId="0" borderId="0" xfId="3505" applyNumberFormat="1" applyFont="1" applyFill="1">
      <alignment vertical="center"/>
    </xf>
    <xf numFmtId="209" fontId="0" fillId="0" borderId="5" xfId="3456" applyNumberFormat="1" applyFont="1" applyBorder="1"/>
    <xf numFmtId="202" fontId="0" fillId="0" borderId="5" xfId="3505" applyNumberFormat="1" applyFont="1" applyFill="1" applyBorder="1" applyAlignment="1">
      <alignment vertical="center" wrapText="1"/>
    </xf>
    <xf numFmtId="0" fontId="0" fillId="0" borderId="0" xfId="3505" applyFont="1" applyFill="1" applyBorder="1" applyAlignment="1">
      <alignment vertical="center" wrapText="1"/>
    </xf>
    <xf numFmtId="202" fontId="0" fillId="0" borderId="5" xfId="3505" applyNumberFormat="1" applyFont="1" applyFill="1" applyBorder="1" applyAlignment="1">
      <alignment horizontal="right" vertical="center" wrapText="1"/>
    </xf>
    <xf numFmtId="202" fontId="0" fillId="0" borderId="5" xfId="3505" applyNumberFormat="1" applyFont="1" applyFill="1" applyBorder="1" applyAlignment="1">
      <alignment horizontal="right" vertical="center"/>
    </xf>
    <xf numFmtId="0" fontId="0" fillId="0" borderId="1" xfId="3505" applyFont="1" applyFill="1" applyBorder="1" applyAlignment="1">
      <alignment vertical="center" wrapText="1"/>
    </xf>
    <xf numFmtId="209" fontId="0" fillId="0" borderId="7" xfId="3456" applyNumberFormat="1" applyFont="1" applyBorder="1"/>
    <xf numFmtId="202" fontId="0" fillId="0" borderId="7" xfId="3505" applyNumberFormat="1" applyFont="1" applyFill="1" applyBorder="1" applyAlignment="1">
      <alignment vertical="center" wrapText="1"/>
    </xf>
    <xf numFmtId="202" fontId="0" fillId="0" borderId="13" xfId="3506" applyNumberFormat="1" applyFont="1" applyFill="1" applyBorder="1" applyAlignment="1" applyProtection="1">
      <alignment horizontal="right" vertical="center"/>
    </xf>
    <xf numFmtId="0" fontId="0" fillId="0" borderId="46" xfId="3454" applyFont="1" applyBorder="1" applyAlignment="1">
      <alignment horizontal="center" vertical="center"/>
    </xf>
    <xf numFmtId="0" fontId="0" fillId="0" borderId="0" xfId="3505" applyFont="1" applyBorder="1" applyAlignment="1">
      <alignment horizontal="left" vertical="center" wrapText="1"/>
    </xf>
    <xf numFmtId="0" fontId="0" fillId="0" borderId="3" xfId="3505" applyFont="1" applyBorder="1" applyAlignment="1">
      <alignment vertical="center" wrapText="1"/>
    </xf>
    <xf numFmtId="209" fontId="0" fillId="0" borderId="22" xfId="3505" applyNumberFormat="1" applyFont="1" applyBorder="1">
      <alignment vertical="center"/>
    </xf>
    <xf numFmtId="209" fontId="0" fillId="0" borderId="23" xfId="3505" applyNumberFormat="1" applyFont="1" applyBorder="1">
      <alignment vertical="center"/>
    </xf>
    <xf numFmtId="0" fontId="0" fillId="0" borderId="14" xfId="3505" applyFont="1" applyBorder="1" applyAlignment="1">
      <alignment vertical="center" wrapText="1"/>
    </xf>
    <xf numFmtId="209" fontId="0" fillId="0" borderId="26" xfId="3505" applyNumberFormat="1" applyFont="1" applyBorder="1">
      <alignment vertical="center"/>
    </xf>
    <xf numFmtId="202" fontId="0" fillId="0" borderId="16" xfId="3506" applyNumberFormat="1" applyFont="1" applyFill="1" applyBorder="1" applyAlignment="1" applyProtection="1">
      <alignment horizontal="right" vertical="center"/>
    </xf>
    <xf numFmtId="0" fontId="25" fillId="0" borderId="5" xfId="3507" applyNumberFormat="1" applyFont="1" applyFill="1" applyBorder="1" applyAlignment="1">
      <alignment horizontal="center" vertical="center" wrapText="1"/>
    </xf>
    <xf numFmtId="0" fontId="25" fillId="0" borderId="6" xfId="3507" applyNumberFormat="1" applyFont="1" applyFill="1" applyBorder="1" applyAlignment="1">
      <alignment horizontal="center" vertical="center" wrapText="1"/>
    </xf>
    <xf numFmtId="0" fontId="0" fillId="0" borderId="64" xfId="3505" applyFont="1" applyBorder="1" applyAlignment="1">
      <alignment vertical="center" wrapText="1"/>
    </xf>
    <xf numFmtId="208" fontId="0" fillId="0" borderId="66" xfId="246" applyNumberFormat="1" applyFont="1" applyFill="1" applyBorder="1" applyAlignment="1">
      <alignment horizontal="right" vertical="center"/>
    </xf>
    <xf numFmtId="202" fontId="0" fillId="0" borderId="65" xfId="3506" applyNumberFormat="1" applyFont="1" applyFill="1" applyBorder="1" applyAlignment="1" applyProtection="1">
      <alignment horizontal="right" vertical="center"/>
    </xf>
    <xf numFmtId="0" fontId="0" fillId="0" borderId="0" xfId="3459" applyFont="1" applyFill="1">
      <alignment vertical="center"/>
    </xf>
    <xf numFmtId="0" fontId="0" fillId="0" borderId="0" xfId="0" applyFont="1" applyFill="1" applyBorder="1" applyAlignment="1">
      <alignment horizontal="center" vertical="center"/>
    </xf>
    <xf numFmtId="0" fontId="35" fillId="0" borderId="51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/>
    </xf>
    <xf numFmtId="202" fontId="0" fillId="0" borderId="47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justify" vertical="center" wrapText="1"/>
    </xf>
    <xf numFmtId="0" fontId="0" fillId="0" borderId="4" xfId="0" applyFont="1" applyFill="1" applyBorder="1" applyAlignment="1">
      <alignment horizontal="center" vertical="center" wrapText="1"/>
    </xf>
    <xf numFmtId="202" fontId="0" fillId="0" borderId="0" xfId="3506" applyNumberFormat="1" applyFont="1" applyFill="1" applyBorder="1" applyAlignment="1" applyProtection="1">
      <alignment horizontal="center" vertical="center"/>
    </xf>
    <xf numFmtId="202" fontId="0" fillId="0" borderId="0" xfId="3459" applyNumberFormat="1" applyFont="1" applyFill="1">
      <alignment vertical="center"/>
    </xf>
    <xf numFmtId="0" fontId="0" fillId="0" borderId="4" xfId="0" applyFont="1" applyFill="1" applyBorder="1" applyAlignment="1">
      <alignment vertical="center"/>
    </xf>
    <xf numFmtId="198" fontId="0" fillId="0" borderId="0" xfId="3459" applyNumberFormat="1" applyFont="1" applyFill="1">
      <alignment vertical="center"/>
    </xf>
    <xf numFmtId="209" fontId="0" fillId="0" borderId="4" xfId="3459" applyNumberFormat="1" applyFont="1" applyFill="1" applyBorder="1" applyAlignment="1">
      <alignment horizontal="center" vertical="center"/>
    </xf>
    <xf numFmtId="209" fontId="0" fillId="0" borderId="5" xfId="246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justify" vertical="center" wrapText="1"/>
    </xf>
    <xf numFmtId="0" fontId="0" fillId="0" borderId="9" xfId="0" applyFont="1" applyFill="1" applyBorder="1" applyAlignment="1">
      <alignment horizontal="center" vertical="center" wrapText="1"/>
    </xf>
    <xf numFmtId="209" fontId="0" fillId="0" borderId="9" xfId="246" applyNumberFormat="1" applyFont="1" applyFill="1" applyBorder="1" applyAlignment="1">
      <alignment horizontal="center" vertical="center"/>
    </xf>
    <xf numFmtId="202" fontId="0" fillId="0" borderId="1" xfId="3506" applyNumberFormat="1" applyFont="1" applyFill="1" applyBorder="1" applyAlignment="1" applyProtection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vertical="center"/>
    </xf>
    <xf numFmtId="0" fontId="0" fillId="0" borderId="0" xfId="0" applyAlignment="1">
      <alignment vertical="center"/>
    </xf>
    <xf numFmtId="209" fontId="0" fillId="0" borderId="35" xfId="1120" applyNumberFormat="1" applyFont="1" applyFill="1" applyBorder="1" applyAlignment="1" applyProtection="1">
      <alignment horizontal="right"/>
      <protection hidden="1"/>
    </xf>
    <xf numFmtId="202" fontId="0" fillId="0" borderId="38" xfId="1123" applyNumberFormat="1" applyFont="1" applyFill="1" applyBorder="1" applyAlignment="1" applyProtection="1">
      <alignment horizontal="right"/>
      <protection hidden="1"/>
    </xf>
    <xf numFmtId="0" fontId="24" fillId="0" borderId="0" xfId="0" applyFont="1" applyFill="1"/>
    <xf numFmtId="209" fontId="0" fillId="0" borderId="5" xfId="1126" applyNumberFormat="1" applyFont="1" applyFill="1" applyBorder="1" applyAlignment="1" applyProtection="1">
      <alignment horizontal="right"/>
      <protection hidden="1"/>
    </xf>
    <xf numFmtId="202" fontId="0" fillId="0" borderId="6" xfId="1128" applyNumberFormat="1" applyFont="1" applyFill="1" applyBorder="1" applyAlignment="1" applyProtection="1">
      <alignment horizontal="right"/>
      <protection hidden="1"/>
    </xf>
    <xf numFmtId="209" fontId="0" fillId="0" borderId="5" xfId="1131" applyNumberFormat="1" applyFont="1" applyFill="1" applyBorder="1" applyAlignment="1" applyProtection="1">
      <alignment horizontal="right"/>
      <protection hidden="1"/>
    </xf>
    <xf numFmtId="202" fontId="0" fillId="0" borderId="6" xfId="280" applyNumberFormat="1" applyFont="1" applyFill="1" applyBorder="1" applyAlignment="1" applyProtection="1">
      <alignment horizontal="right"/>
      <protection hidden="1"/>
    </xf>
    <xf numFmtId="209" fontId="0" fillId="0" borderId="6" xfId="55" applyNumberFormat="1" applyFont="1" applyFill="1" applyBorder="1" applyAlignment="1" applyProtection="1">
      <alignment horizontal="right"/>
      <protection hidden="1"/>
    </xf>
    <xf numFmtId="202" fontId="0" fillId="0" borderId="6" xfId="290" applyNumberFormat="1" applyFont="1" applyFill="1" applyBorder="1" applyAlignment="1" applyProtection="1">
      <alignment horizontal="right"/>
      <protection hidden="1"/>
    </xf>
    <xf numFmtId="209" fontId="0" fillId="0" borderId="5" xfId="296" applyNumberFormat="1" applyFont="1" applyFill="1" applyBorder="1" applyAlignment="1" applyProtection="1">
      <alignment horizontal="right"/>
      <protection hidden="1"/>
    </xf>
    <xf numFmtId="202" fontId="0" fillId="0" borderId="6" xfId="300" applyNumberFormat="1" applyFont="1" applyFill="1" applyBorder="1" applyAlignment="1" applyProtection="1">
      <alignment horizontal="right"/>
      <protection hidden="1"/>
    </xf>
    <xf numFmtId="209" fontId="0" fillId="0" borderId="5" xfId="281" applyNumberFormat="1" applyFont="1" applyFill="1" applyBorder="1" applyAlignment="1" applyProtection="1">
      <alignment horizontal="right"/>
      <protection hidden="1"/>
    </xf>
    <xf numFmtId="202" fontId="0" fillId="0" borderId="6" xfId="56" applyNumberFormat="1" applyFont="1" applyFill="1" applyBorder="1" applyAlignment="1" applyProtection="1">
      <alignment horizontal="right"/>
      <protection hidden="1"/>
    </xf>
    <xf numFmtId="209" fontId="0" fillId="0" borderId="5" xfId="291" applyNumberFormat="1" applyFont="1" applyFill="1" applyBorder="1" applyAlignment="1" applyProtection="1">
      <alignment horizontal="right"/>
      <protection hidden="1"/>
    </xf>
    <xf numFmtId="202" fontId="0" fillId="0" borderId="6" xfId="297" applyNumberFormat="1" applyFont="1" applyFill="1" applyBorder="1" applyAlignment="1" applyProtection="1">
      <alignment horizontal="right"/>
      <protection hidden="1"/>
    </xf>
    <xf numFmtId="209" fontId="0" fillId="0" borderId="5" xfId="301" applyNumberFormat="1" applyFont="1" applyFill="1" applyBorder="1" applyAlignment="1" applyProtection="1">
      <alignment horizontal="right"/>
      <protection hidden="1"/>
    </xf>
    <xf numFmtId="202" fontId="0" fillId="0" borderId="6" xfId="304" applyNumberFormat="1" applyFont="1" applyFill="1" applyBorder="1" applyAlignment="1" applyProtection="1">
      <alignment horizontal="right"/>
      <protection hidden="1"/>
    </xf>
    <xf numFmtId="209" fontId="0" fillId="0" borderId="5" xfId="312" applyNumberFormat="1" applyFont="1" applyFill="1" applyBorder="1" applyAlignment="1" applyProtection="1">
      <alignment horizontal="right"/>
      <protection hidden="1"/>
    </xf>
    <xf numFmtId="202" fontId="0" fillId="0" borderId="6" xfId="613" applyNumberFormat="1" applyFont="1" applyFill="1" applyBorder="1" applyAlignment="1" applyProtection="1">
      <alignment horizontal="right"/>
      <protection hidden="1"/>
    </xf>
    <xf numFmtId="209" fontId="0" fillId="0" borderId="5" xfId="616" applyNumberFormat="1" applyFont="1" applyFill="1" applyBorder="1" applyAlignment="1" applyProtection="1">
      <alignment horizontal="right"/>
      <protection hidden="1"/>
    </xf>
    <xf numFmtId="202" fontId="0" fillId="0" borderId="6" xfId="7" applyNumberFormat="1" applyFont="1" applyFill="1" applyBorder="1" applyAlignment="1" applyProtection="1">
      <alignment horizontal="right"/>
      <protection hidden="1"/>
    </xf>
    <xf numFmtId="0" fontId="0" fillId="0" borderId="4" xfId="0" applyNumberFormat="1" applyFont="1" applyFill="1" applyBorder="1" applyAlignment="1">
      <alignment vertical="center"/>
    </xf>
    <xf numFmtId="209" fontId="0" fillId="0" borderId="5" xfId="305" applyNumberFormat="1" applyFont="1" applyFill="1" applyBorder="1" applyAlignment="1" applyProtection="1">
      <alignment horizontal="right"/>
      <protection hidden="1"/>
    </xf>
    <xf numFmtId="202" fontId="0" fillId="0" borderId="6" xfId="313" applyNumberFormat="1" applyFont="1" applyFill="1" applyBorder="1" applyAlignment="1" applyProtection="1">
      <alignment horizontal="right"/>
      <protection hidden="1"/>
    </xf>
    <xf numFmtId="0" fontId="0" fillId="0" borderId="4" xfId="0" applyFont="1" applyFill="1" applyBorder="1" applyAlignment="1">
      <alignment horizontal="left" vertical="center"/>
    </xf>
    <xf numFmtId="209" fontId="0" fillId="0" borderId="5" xfId="614" applyNumberFormat="1" applyFont="1" applyFill="1" applyBorder="1" applyAlignment="1" applyProtection="1">
      <alignment horizontal="right"/>
      <protection hidden="1"/>
    </xf>
    <xf numFmtId="202" fontId="0" fillId="0" borderId="6" xfId="617" applyNumberFormat="1" applyFont="1" applyFill="1" applyBorder="1" applyAlignment="1" applyProtection="1">
      <alignment horizontal="right"/>
      <protection hidden="1"/>
    </xf>
    <xf numFmtId="209" fontId="0" fillId="0" borderId="5" xfId="8" applyNumberFormat="1" applyFont="1" applyFill="1" applyBorder="1" applyAlignment="1" applyProtection="1">
      <alignment horizontal="right"/>
      <protection hidden="1"/>
    </xf>
    <xf numFmtId="202" fontId="0" fillId="0" borderId="6" xfId="619" applyNumberFormat="1" applyFont="1" applyFill="1" applyBorder="1" applyAlignment="1" applyProtection="1">
      <alignment horizontal="right"/>
      <protection hidden="1"/>
    </xf>
    <xf numFmtId="0" fontId="0" fillId="0" borderId="67" xfId="0" applyFont="1" applyFill="1" applyBorder="1" applyAlignment="1">
      <alignment vertical="center"/>
    </xf>
    <xf numFmtId="210" fontId="0" fillId="0" borderId="0" xfId="0" applyNumberFormat="1"/>
    <xf numFmtId="0" fontId="10" fillId="0" borderId="1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justify" vertical="center" wrapText="1"/>
    </xf>
    <xf numFmtId="0" fontId="0" fillId="0" borderId="6" xfId="0" applyFont="1" applyBorder="1" applyAlignment="1">
      <alignment horizontal="center" vertical="center" wrapText="1"/>
    </xf>
    <xf numFmtId="202" fontId="0" fillId="0" borderId="6" xfId="0" applyNumberFormat="1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justify" vertical="center" wrapText="1"/>
    </xf>
    <xf numFmtId="0" fontId="0" fillId="0" borderId="6" xfId="0" applyFont="1" applyFill="1" applyBorder="1" applyAlignment="1">
      <alignment horizontal="center" vertical="center" wrapText="1"/>
    </xf>
    <xf numFmtId="202" fontId="0" fillId="0" borderId="6" xfId="0" applyNumberFormat="1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justify" vertical="center" wrapText="1"/>
    </xf>
    <xf numFmtId="0" fontId="0" fillId="0" borderId="10" xfId="0" applyFont="1" applyBorder="1" applyAlignment="1">
      <alignment horizontal="center" vertical="center" wrapText="1"/>
    </xf>
    <xf numFmtId="202" fontId="0" fillId="0" borderId="10" xfId="0" applyNumberFormat="1" applyFont="1" applyBorder="1" applyAlignment="1">
      <alignment horizontal="center" vertical="center" wrapText="1"/>
    </xf>
    <xf numFmtId="0" fontId="0" fillId="0" borderId="43" xfId="0" applyBorder="1" applyAlignment="1"/>
    <xf numFmtId="0" fontId="0" fillId="0" borderId="0" xfId="0" applyBorder="1" applyAlignment="1"/>
    <xf numFmtId="0" fontId="10" fillId="0" borderId="15" xfId="113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justify" vertical="center" wrapText="1"/>
    </xf>
    <xf numFmtId="0" fontId="0" fillId="0" borderId="6" xfId="0" applyFont="1" applyFill="1" applyBorder="1" applyAlignment="1">
      <alignment horizontal="center" vertical="center" wrapText="1"/>
    </xf>
    <xf numFmtId="209" fontId="0" fillId="0" borderId="6" xfId="1130" applyNumberFormat="1" applyFont="1" applyFill="1" applyBorder="1" applyAlignment="1">
      <alignment horizontal="center" vertical="center"/>
    </xf>
    <xf numFmtId="0" fontId="0" fillId="0" borderId="6" xfId="1130" applyFont="1" applyFill="1" applyBorder="1" applyAlignment="1">
      <alignment horizontal="center" vertical="center" wrapText="1"/>
    </xf>
    <xf numFmtId="202" fontId="0" fillId="0" borderId="6" xfId="1130" applyNumberFormat="1" applyFont="1" applyFill="1" applyBorder="1" applyAlignment="1">
      <alignment horizontal="center" vertical="center" wrapText="1"/>
    </xf>
    <xf numFmtId="209" fontId="0" fillId="0" borderId="6" xfId="1130" applyNumberFormat="1" applyFont="1" applyFill="1" applyBorder="1" applyAlignment="1">
      <alignment horizontal="center" vertical="center"/>
    </xf>
    <xf numFmtId="202" fontId="0" fillId="0" borderId="6" xfId="1130" applyNumberFormat="1" applyFont="1" applyFill="1" applyBorder="1" applyAlignment="1">
      <alignment horizontal="center" vertical="center"/>
    </xf>
    <xf numFmtId="202" fontId="0" fillId="0" borderId="6" xfId="1130" applyNumberFormat="1" applyFont="1" applyFill="1" applyBorder="1" applyAlignment="1">
      <alignment horizontal="center" vertical="center"/>
    </xf>
    <xf numFmtId="209" fontId="0" fillId="0" borderId="6" xfId="1130" applyNumberFormat="1" applyFont="1" applyFill="1" applyBorder="1" applyAlignment="1">
      <alignment horizontal="right" vertical="center"/>
    </xf>
    <xf numFmtId="202" fontId="0" fillId="0" borderId="6" xfId="1130" applyNumberFormat="1" applyFont="1" applyFill="1" applyBorder="1" applyAlignment="1">
      <alignment horizontal="right" vertical="center"/>
    </xf>
    <xf numFmtId="198" fontId="0" fillId="0" borderId="6" xfId="1130" applyNumberFormat="1" applyFont="1" applyFill="1" applyBorder="1" applyAlignment="1">
      <alignment horizontal="right" vertical="center"/>
    </xf>
    <xf numFmtId="202" fontId="0" fillId="0" borderId="6" xfId="1130" applyNumberFormat="1" applyFont="1" applyFill="1" applyBorder="1" applyAlignment="1">
      <alignment horizontal="right" vertical="center"/>
    </xf>
    <xf numFmtId="209" fontId="0" fillId="0" borderId="6" xfId="1130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justify" vertical="center" wrapText="1"/>
    </xf>
    <xf numFmtId="190" fontId="0" fillId="0" borderId="6" xfId="1130" applyNumberFormat="1" applyFont="1" applyFill="1" applyBorder="1" applyAlignment="1">
      <alignment horizontal="right" vertical="center"/>
    </xf>
    <xf numFmtId="0" fontId="0" fillId="0" borderId="6" xfId="1130" applyFont="1" applyFill="1" applyBorder="1" applyAlignment="1">
      <alignment horizontal="center" vertical="center" wrapText="1"/>
    </xf>
    <xf numFmtId="202" fontId="0" fillId="0" borderId="6" xfId="1130" applyNumberFormat="1" applyFont="1" applyFill="1" applyBorder="1" applyAlignment="1">
      <alignment horizontal="center" vertical="center" wrapText="1"/>
    </xf>
    <xf numFmtId="209" fontId="0" fillId="0" borderId="6" xfId="1130" applyNumberFormat="1" applyFont="1" applyFill="1" applyBorder="1" applyAlignment="1">
      <alignment horizontal="center" vertical="center" wrapText="1"/>
    </xf>
    <xf numFmtId="209" fontId="0" fillId="0" borderId="5" xfId="1130" applyNumberFormat="1" applyFont="1" applyFill="1" applyBorder="1" applyAlignment="1">
      <alignment horizontal="right" vertical="center"/>
    </xf>
    <xf numFmtId="202" fontId="0" fillId="0" borderId="0" xfId="650" applyNumberFormat="1" applyFont="1" applyFill="1" applyBorder="1" applyAlignment="1">
      <alignment horizontal="right" vertical="center"/>
    </xf>
    <xf numFmtId="0" fontId="36" fillId="0" borderId="0" xfId="0" applyFont="1" applyFill="1" applyAlignment="1">
      <alignment horizontal="center" vertical="center"/>
    </xf>
    <xf numFmtId="57" fontId="10" fillId="0" borderId="16" xfId="1130" applyNumberFormat="1" applyFont="1" applyFill="1" applyBorder="1" applyAlignment="1">
      <alignment horizontal="center" vertical="center" wrapText="1"/>
    </xf>
    <xf numFmtId="0" fontId="10" fillId="0" borderId="14" xfId="113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/>
    </xf>
    <xf numFmtId="0" fontId="10" fillId="0" borderId="15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98" fontId="0" fillId="0" borderId="40" xfId="246" applyNumberFormat="1" applyFont="1" applyFill="1" applyBorder="1" applyAlignment="1">
      <alignment horizontal="center" vertical="center"/>
    </xf>
    <xf numFmtId="198" fontId="0" fillId="0" borderId="67" xfId="246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3" fillId="0" borderId="0" xfId="0" applyFont="1" applyFill="1" applyAlignment="1">
      <alignment horizontal="center" vertical="center"/>
    </xf>
    <xf numFmtId="0" fontId="10" fillId="0" borderId="0" xfId="3459" applyFont="1" applyFill="1" applyAlignment="1">
      <alignment horizontal="center" vertical="center"/>
    </xf>
    <xf numFmtId="0" fontId="0" fillId="0" borderId="0" xfId="0" applyFont="1" applyFill="1" applyAlignment="1">
      <alignment wrapText="1"/>
    </xf>
    <xf numFmtId="0" fontId="3" fillId="0" borderId="4" xfId="3505" applyFont="1" applyBorder="1" applyAlignment="1">
      <alignment horizontal="center" vertical="center"/>
    </xf>
    <xf numFmtId="0" fontId="3" fillId="0" borderId="0" xfId="3505" applyFont="1" applyBorder="1" applyAlignment="1">
      <alignment horizontal="center" vertical="center"/>
    </xf>
    <xf numFmtId="0" fontId="3" fillId="0" borderId="6" xfId="3505" applyFont="1" applyBorder="1" applyAlignment="1">
      <alignment horizontal="center" vertical="center"/>
    </xf>
    <xf numFmtId="0" fontId="0" fillId="0" borderId="1" xfId="3505" applyFont="1" applyBorder="1" applyAlignment="1">
      <alignment horizontal="right" vertical="center"/>
    </xf>
    <xf numFmtId="0" fontId="0" fillId="0" borderId="1" xfId="3454" applyFont="1" applyBorder="1" applyAlignment="1">
      <alignment horizontal="right" vertical="center"/>
    </xf>
    <xf numFmtId="0" fontId="25" fillId="0" borderId="13" xfId="3505" applyNumberFormat="1" applyFont="1" applyFill="1" applyBorder="1" applyAlignment="1">
      <alignment horizontal="center" vertical="center" wrapText="1"/>
    </xf>
    <xf numFmtId="0" fontId="25" fillId="0" borderId="2" xfId="3505" applyNumberFormat="1" applyFont="1" applyFill="1" applyBorder="1" applyAlignment="1">
      <alignment horizontal="center" vertical="center" wrapText="1"/>
    </xf>
    <xf numFmtId="209" fontId="0" fillId="0" borderId="65" xfId="3505" applyNumberFormat="1" applyFont="1" applyFill="1" applyBorder="1" applyAlignment="1">
      <alignment horizontal="center" vertical="center" wrapText="1"/>
    </xf>
    <xf numFmtId="209" fontId="0" fillId="0" borderId="64" xfId="3505" applyNumberFormat="1" applyFont="1" applyFill="1" applyBorder="1" applyAlignment="1">
      <alignment horizontal="center" vertical="center" wrapText="1"/>
    </xf>
    <xf numFmtId="0" fontId="4" fillId="0" borderId="0" xfId="3505" applyFont="1" applyBorder="1" applyAlignment="1">
      <alignment horizontal="left" vertical="center"/>
    </xf>
    <xf numFmtId="0" fontId="0" fillId="0" borderId="0" xfId="3456" applyFont="1"/>
    <xf numFmtId="0" fontId="4" fillId="0" borderId="0" xfId="3505" applyFont="1" applyFill="1" applyBorder="1" applyAlignment="1">
      <alignment horizontal="left" vertical="center"/>
    </xf>
    <xf numFmtId="0" fontId="3" fillId="0" borderId="4" xfId="3505" applyFont="1" applyFill="1" applyBorder="1" applyAlignment="1">
      <alignment horizontal="center" vertical="center"/>
    </xf>
    <xf numFmtId="0" fontId="3" fillId="0" borderId="0" xfId="3505" applyFont="1" applyFill="1" applyBorder="1" applyAlignment="1">
      <alignment horizontal="center" vertical="center"/>
    </xf>
    <xf numFmtId="0" fontId="3" fillId="0" borderId="6" xfId="3505" applyFont="1" applyFill="1" applyBorder="1" applyAlignment="1">
      <alignment horizontal="center" vertical="center"/>
    </xf>
    <xf numFmtId="0" fontId="0" fillId="0" borderId="1" xfId="3460" applyFont="1" applyBorder="1"/>
    <xf numFmtId="0" fontId="0" fillId="0" borderId="1" xfId="3455" applyFont="1" applyBorder="1" applyAlignment="1">
      <alignment horizontal="right" vertical="center"/>
    </xf>
    <xf numFmtId="0" fontId="0" fillId="0" borderId="0" xfId="3457" applyFont="1" applyFill="1"/>
    <xf numFmtId="0" fontId="0" fillId="0" borderId="0" xfId="3461" applyFont="1"/>
    <xf numFmtId="0" fontId="0" fillId="0" borderId="0" xfId="3470" applyFont="1" applyFill="1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3505" applyFont="1" applyBorder="1" applyAlignment="1">
      <alignment horizontal="left" vertical="center" wrapText="1"/>
    </xf>
    <xf numFmtId="0" fontId="3" fillId="0" borderId="5" xfId="3505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0" fillId="0" borderId="43" xfId="3505" applyFont="1" applyFill="1" applyBorder="1" applyAlignment="1">
      <alignment horizontal="left" vertical="center"/>
    </xf>
    <xf numFmtId="0" fontId="0" fillId="0" borderId="0" xfId="3505" applyFont="1" applyFill="1" applyBorder="1" applyAlignment="1">
      <alignment horizontal="left" vertical="center"/>
    </xf>
    <xf numFmtId="0" fontId="3" fillId="0" borderId="0" xfId="1727" applyFont="1" applyBorder="1" applyAlignment="1">
      <alignment horizontal="center" vertical="center"/>
    </xf>
    <xf numFmtId="0" fontId="3" fillId="0" borderId="0" xfId="1730" applyFont="1" applyBorder="1" applyAlignment="1">
      <alignment horizontal="center" vertical="center"/>
    </xf>
    <xf numFmtId="0" fontId="0" fillId="0" borderId="0" xfId="1730" applyFont="1"/>
    <xf numFmtId="0" fontId="3" fillId="0" borderId="0" xfId="1732" applyFont="1" applyBorder="1" applyAlignment="1">
      <alignment horizontal="center" vertical="center"/>
    </xf>
    <xf numFmtId="0" fontId="104" fillId="0" borderId="0" xfId="1732"/>
    <xf numFmtId="0" fontId="3" fillId="3" borderId="0" xfId="3471" applyFont="1" applyFill="1" applyBorder="1" applyAlignment="1">
      <alignment horizontal="center" vertical="center"/>
    </xf>
    <xf numFmtId="0" fontId="0" fillId="3" borderId="0" xfId="3471" applyFont="1" applyFill="1"/>
    <xf numFmtId="0" fontId="0" fillId="0" borderId="43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3" fillId="3" borderId="0" xfId="1724" applyFont="1" applyFill="1" applyBorder="1" applyAlignment="1">
      <alignment horizontal="center" vertical="center"/>
    </xf>
    <xf numFmtId="0" fontId="104" fillId="0" borderId="0" xfId="1724"/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4" fillId="0" borderId="43" xfId="0" applyFont="1" applyFill="1" applyBorder="1" applyAlignment="1"/>
    <xf numFmtId="0" fontId="4" fillId="0" borderId="0" xfId="0" applyFont="1" applyFill="1" applyBorder="1" applyAlignment="1"/>
    <xf numFmtId="0" fontId="17" fillId="0" borderId="0" xfId="0" applyFont="1" applyFill="1" applyAlignment="1"/>
    <xf numFmtId="0" fontId="18" fillId="0" borderId="0" xfId="1728" applyFont="1" applyFill="1" applyAlignment="1">
      <alignment horizontal="left" vertical="center" wrapText="1"/>
    </xf>
    <xf numFmtId="0" fontId="17" fillId="0" borderId="0" xfId="1137" applyFont="1" applyBorder="1" applyAlignment="1">
      <alignment horizontal="center" vertical="center"/>
    </xf>
    <xf numFmtId="0" fontId="17" fillId="0" borderId="0" xfId="1734" applyFont="1" applyBorder="1" applyAlignment="1">
      <alignment horizontal="center" vertical="center"/>
    </xf>
    <xf numFmtId="0" fontId="0" fillId="0" borderId="1" xfId="1734" applyFont="1" applyBorder="1"/>
    <xf numFmtId="0" fontId="17" fillId="0" borderId="0" xfId="1738" applyFont="1" applyBorder="1" applyAlignment="1">
      <alignment horizontal="center" vertical="center"/>
    </xf>
    <xf numFmtId="0" fontId="0" fillId="0" borderId="0" xfId="1738" applyFont="1"/>
    <xf numFmtId="0" fontId="4" fillId="0" borderId="43" xfId="0" applyFont="1" applyBorder="1" applyAlignment="1">
      <alignment horizontal="left"/>
    </xf>
    <xf numFmtId="0" fontId="17" fillId="0" borderId="0" xfId="1743" applyFont="1" applyFill="1" applyBorder="1" applyAlignment="1">
      <alignment horizontal="center" vertical="center"/>
    </xf>
    <xf numFmtId="0" fontId="0" fillId="0" borderId="0" xfId="1743" applyFont="1" applyFill="1"/>
    <xf numFmtId="0" fontId="4" fillId="0" borderId="43" xfId="0" applyFont="1" applyFill="1" applyBorder="1" applyAlignment="1">
      <alignment horizontal="left"/>
    </xf>
    <xf numFmtId="0" fontId="17" fillId="0" borderId="0" xfId="1747" applyFont="1" applyFill="1" applyBorder="1" applyAlignment="1">
      <alignment horizontal="center" vertical="center"/>
    </xf>
    <xf numFmtId="0" fontId="17" fillId="0" borderId="0" xfId="1138" applyFont="1" applyBorder="1" applyAlignment="1">
      <alignment horizontal="center" vertical="center"/>
    </xf>
    <xf numFmtId="0" fontId="17" fillId="0" borderId="0" xfId="1735" applyFont="1" applyBorder="1" applyAlignment="1">
      <alignment horizontal="center" vertical="center"/>
    </xf>
    <xf numFmtId="0" fontId="17" fillId="0" borderId="0" xfId="1739" applyFont="1" applyBorder="1" applyAlignment="1">
      <alignment horizontal="center" vertical="center"/>
    </xf>
    <xf numFmtId="0" fontId="104" fillId="0" borderId="0" xfId="1739"/>
    <xf numFmtId="0" fontId="17" fillId="0" borderId="0" xfId="1744" applyFont="1" applyFill="1" applyBorder="1" applyAlignment="1">
      <alignment horizontal="center" vertical="center"/>
    </xf>
    <xf numFmtId="0" fontId="0" fillId="0" borderId="0" xfId="1744" applyFont="1" applyFill="1"/>
    <xf numFmtId="0" fontId="17" fillId="0" borderId="0" xfId="1748" applyFont="1" applyBorder="1" applyAlignment="1">
      <alignment horizontal="center" vertical="center"/>
    </xf>
    <xf numFmtId="0" fontId="17" fillId="0" borderId="0" xfId="843" applyFont="1" applyBorder="1" applyAlignment="1">
      <alignment horizontal="center" vertical="center"/>
    </xf>
    <xf numFmtId="0" fontId="104" fillId="0" borderId="0" xfId="843"/>
    <xf numFmtId="0" fontId="17" fillId="0" borderId="0" xfId="1752" applyFont="1" applyFill="1" applyBorder="1" applyAlignment="1">
      <alignment horizontal="center" vertical="center"/>
    </xf>
    <xf numFmtId="0" fontId="17" fillId="0" borderId="0" xfId="701" applyFont="1" applyFill="1" applyBorder="1" applyAlignment="1">
      <alignment horizontal="center" vertical="center"/>
    </xf>
    <xf numFmtId="0" fontId="17" fillId="0" borderId="0" xfId="707" applyFont="1" applyFill="1" applyBorder="1" applyAlignment="1">
      <alignment horizontal="center" vertical="center"/>
    </xf>
    <xf numFmtId="0" fontId="18" fillId="0" borderId="0" xfId="707" applyFont="1" applyFill="1" applyAlignment="1">
      <alignment horizontal="left" vertical="center" wrapText="1"/>
    </xf>
    <xf numFmtId="0" fontId="18" fillId="0" borderId="4" xfId="707" applyFont="1" applyFill="1" applyBorder="1" applyAlignment="1">
      <alignment horizontal="left" vertical="center" wrapText="1"/>
    </xf>
    <xf numFmtId="0" fontId="17" fillId="0" borderId="0" xfId="844" applyFont="1" applyBorder="1" applyAlignment="1">
      <alignment horizontal="center" vertical="center"/>
    </xf>
    <xf numFmtId="0" fontId="104" fillId="0" borderId="0" xfId="844"/>
    <xf numFmtId="0" fontId="17" fillId="0" borderId="0" xfId="733" applyFont="1" applyFill="1" applyBorder="1" applyAlignment="1">
      <alignment horizontal="center" vertical="center"/>
    </xf>
    <xf numFmtId="0" fontId="0" fillId="0" borderId="0" xfId="733" applyFont="1" applyFill="1"/>
    <xf numFmtId="0" fontId="0" fillId="0" borderId="0" xfId="0"/>
    <xf numFmtId="0" fontId="0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5028">
    <cellStyle name="?鹎%U龡&amp;H?_x0008__x001c__x001c_?_x0007__x0001__x0001_" xfId="114"/>
    <cellStyle name="_0202" xfId="122"/>
    <cellStyle name="_0202 10" xfId="11"/>
    <cellStyle name="_0202 11" xfId="126"/>
    <cellStyle name="_0202 12" xfId="75"/>
    <cellStyle name="_0202 13" xfId="128"/>
    <cellStyle name="_0202 14" xfId="130"/>
    <cellStyle name="_0202 15" xfId="132"/>
    <cellStyle name="_0202 16" xfId="135"/>
    <cellStyle name="_0202 17" xfId="117"/>
    <cellStyle name="_0202 18" xfId="2"/>
    <cellStyle name="_0202 19" xfId="138"/>
    <cellStyle name="_0202 2" xfId="78"/>
    <cellStyle name="_0202 20" xfId="133"/>
    <cellStyle name="_0202 21" xfId="136"/>
    <cellStyle name="_0202 22" xfId="118"/>
    <cellStyle name="_0202 23" xfId="1"/>
    <cellStyle name="_0202 24" xfId="137"/>
    <cellStyle name="_0202 25" xfId="140"/>
    <cellStyle name="_0202 26" xfId="142"/>
    <cellStyle name="_0202 27" xfId="144"/>
    <cellStyle name="_0202 28" xfId="151"/>
    <cellStyle name="_0202 29" xfId="157"/>
    <cellStyle name="_0202 3" xfId="159"/>
    <cellStyle name="_0202 30" xfId="139"/>
    <cellStyle name="_0202 31" xfId="141"/>
    <cellStyle name="_0202 32" xfId="143"/>
    <cellStyle name="_0202 33" xfId="150"/>
    <cellStyle name="_0202 34" xfId="156"/>
    <cellStyle name="_0202 35" xfId="165"/>
    <cellStyle name="_0202 36" xfId="170"/>
    <cellStyle name="_0202 37" xfId="177"/>
    <cellStyle name="_0202 38" xfId="185"/>
    <cellStyle name="_0202 39" xfId="191"/>
    <cellStyle name="_0202 4" xfId="193"/>
    <cellStyle name="_0202 40" xfId="164"/>
    <cellStyle name="_0202 41" xfId="169"/>
    <cellStyle name="_0202 42" xfId="176"/>
    <cellStyle name="_0202 43" xfId="184"/>
    <cellStyle name="_0202 44" xfId="190"/>
    <cellStyle name="_0202 45" xfId="200"/>
    <cellStyle name="_0202 46" xfId="205"/>
    <cellStyle name="_0202 47" xfId="211"/>
    <cellStyle name="_0202 48" xfId="217"/>
    <cellStyle name="_0202 49" xfId="223"/>
    <cellStyle name="_0202 5" xfId="225"/>
    <cellStyle name="_0202 50" xfId="199"/>
    <cellStyle name="_0202 6" xfId="227"/>
    <cellStyle name="_0202 7" xfId="228"/>
    <cellStyle name="_0202 8" xfId="229"/>
    <cellStyle name="_0202 9" xfId="232"/>
    <cellStyle name="_20100326高清市院遂宁检察院1080P配置清单26日改" xfId="234"/>
    <cellStyle name="_Book1" xfId="243"/>
    <cellStyle name="_Book1_1" xfId="248"/>
    <cellStyle name="_Book1_2" xfId="250"/>
    <cellStyle name="_Book1_2 10" xfId="145"/>
    <cellStyle name="_Book1_2 11" xfId="152"/>
    <cellStyle name="_Book1_2 12" xfId="160"/>
    <cellStyle name="_Book1_2 13" xfId="166"/>
    <cellStyle name="_Book1_2 14" xfId="171"/>
    <cellStyle name="_Book1_2 15" xfId="181"/>
    <cellStyle name="_Book1_2 16" xfId="187"/>
    <cellStyle name="_Book1_2 17" xfId="195"/>
    <cellStyle name="_Book1_2 18" xfId="202"/>
    <cellStyle name="_Book1_2 19" xfId="207"/>
    <cellStyle name="_Book1_2 2" xfId="254"/>
    <cellStyle name="_Book1_2 20" xfId="180"/>
    <cellStyle name="_Book1_2 21" xfId="186"/>
    <cellStyle name="_Book1_2 22" xfId="194"/>
    <cellStyle name="_Book1_2 23" xfId="201"/>
    <cellStyle name="_Book1_2 24" xfId="206"/>
    <cellStyle name="_Book1_2 25" xfId="214"/>
    <cellStyle name="_Book1_2 26" xfId="219"/>
    <cellStyle name="_Book1_2 27" xfId="256"/>
    <cellStyle name="_Book1_2 28" xfId="264"/>
    <cellStyle name="_Book1_2 29" xfId="269"/>
    <cellStyle name="_Book1_2 3" xfId="270"/>
    <cellStyle name="_Book1_2 30" xfId="213"/>
    <cellStyle name="_Book1_2 31" xfId="218"/>
    <cellStyle name="_Book1_2 32" xfId="255"/>
    <cellStyle name="_Book1_2 33" xfId="263"/>
    <cellStyle name="_Book1_2 34" xfId="268"/>
    <cellStyle name="_Book1_2 35" xfId="273"/>
    <cellStyle name="_Book1_2 36" xfId="276"/>
    <cellStyle name="_Book1_2 37" xfId="279"/>
    <cellStyle name="_Book1_2 38" xfId="286"/>
    <cellStyle name="_Book1_2 39" xfId="60"/>
    <cellStyle name="_Book1_2 4" xfId="289"/>
    <cellStyle name="_Book1_2 40" xfId="272"/>
    <cellStyle name="_Book1_2 41" xfId="275"/>
    <cellStyle name="_Book1_2 42" xfId="278"/>
    <cellStyle name="_Book1_2 43" xfId="285"/>
    <cellStyle name="_Book1_2 44" xfId="59"/>
    <cellStyle name="_Book1_2 45" xfId="295"/>
    <cellStyle name="_Book1_2 46" xfId="299"/>
    <cellStyle name="_Book1_2 47" xfId="303"/>
    <cellStyle name="_Book1_2 48" xfId="308"/>
    <cellStyle name="_Book1_2 49" xfId="316"/>
    <cellStyle name="_Book1_2 5" xfId="318"/>
    <cellStyle name="_Book1_2 50" xfId="294"/>
    <cellStyle name="_Book1_2 6" xfId="320"/>
    <cellStyle name="_Book1_2 7" xfId="323"/>
    <cellStyle name="_Book1_2 8" xfId="325"/>
    <cellStyle name="_Book1_2 9" xfId="329"/>
    <cellStyle name="_Book1_3" xfId="330"/>
    <cellStyle name="_ET_STYLE_NoName_00_" xfId="332"/>
    <cellStyle name="_ET_STYLE_NoName_00__Book1" xfId="333"/>
    <cellStyle name="_ET_STYLE_NoName_00__Book1_1" xfId="336"/>
    <cellStyle name="_ET_STYLE_NoName_00__Book1_1 10" xfId="112"/>
    <cellStyle name="_ET_STYLE_NoName_00__Book1_1 11" xfId="337"/>
    <cellStyle name="_ET_STYLE_NoName_00__Book1_1 12" xfId="338"/>
    <cellStyle name="_ET_STYLE_NoName_00__Book1_1 13" xfId="342"/>
    <cellStyle name="_ET_STYLE_NoName_00__Book1_1 14" xfId="343"/>
    <cellStyle name="_ET_STYLE_NoName_00__Book1_1 15" xfId="345"/>
    <cellStyle name="_ET_STYLE_NoName_00__Book1_1 16" xfId="347"/>
    <cellStyle name="_ET_STYLE_NoName_00__Book1_1 17" xfId="349"/>
    <cellStyle name="_ET_STYLE_NoName_00__Book1_1 18" xfId="120"/>
    <cellStyle name="_ET_STYLE_NoName_00__Book1_1 19" xfId="351"/>
    <cellStyle name="_ET_STYLE_NoName_00__Book1_1 2" xfId="355"/>
    <cellStyle name="_ET_STYLE_NoName_00__Book1_1 20" xfId="344"/>
    <cellStyle name="_ET_STYLE_NoName_00__Book1_1 21" xfId="346"/>
    <cellStyle name="_ET_STYLE_NoName_00__Book1_1 22" xfId="348"/>
    <cellStyle name="_ET_STYLE_NoName_00__Book1_1 23" xfId="119"/>
    <cellStyle name="_ET_STYLE_NoName_00__Book1_1 24" xfId="350"/>
    <cellStyle name="_ET_STYLE_NoName_00__Book1_1 25" xfId="357"/>
    <cellStyle name="_ET_STYLE_NoName_00__Book1_1 26" xfId="359"/>
    <cellStyle name="_ET_STYLE_NoName_00__Book1_1 27" xfId="361"/>
    <cellStyle name="_ET_STYLE_NoName_00__Book1_1 28" xfId="363"/>
    <cellStyle name="_ET_STYLE_NoName_00__Book1_1 29" xfId="65"/>
    <cellStyle name="_ET_STYLE_NoName_00__Book1_1 3" xfId="367"/>
    <cellStyle name="_ET_STYLE_NoName_00__Book1_1 30" xfId="356"/>
    <cellStyle name="_ET_STYLE_NoName_00__Book1_1 31" xfId="358"/>
    <cellStyle name="_ET_STYLE_NoName_00__Book1_1 32" xfId="360"/>
    <cellStyle name="_ET_STYLE_NoName_00__Book1_1 33" xfId="362"/>
    <cellStyle name="_ET_STYLE_NoName_00__Book1_1 34" xfId="64"/>
    <cellStyle name="_ET_STYLE_NoName_00__Book1_1 35" xfId="371"/>
    <cellStyle name="_ET_STYLE_NoName_00__Book1_1 36" xfId="374"/>
    <cellStyle name="_ET_STYLE_NoName_00__Book1_1 37" xfId="377"/>
    <cellStyle name="_ET_STYLE_NoName_00__Book1_1 38" xfId="380"/>
    <cellStyle name="_ET_STYLE_NoName_00__Book1_1 39" xfId="384"/>
    <cellStyle name="_ET_STYLE_NoName_00__Book1_1 4" xfId="386"/>
    <cellStyle name="_ET_STYLE_NoName_00__Book1_1 40" xfId="370"/>
    <cellStyle name="_ET_STYLE_NoName_00__Book1_1 41" xfId="373"/>
    <cellStyle name="_ET_STYLE_NoName_00__Book1_1 42" xfId="376"/>
    <cellStyle name="_ET_STYLE_NoName_00__Book1_1 43" xfId="379"/>
    <cellStyle name="_ET_STYLE_NoName_00__Book1_1 44" xfId="383"/>
    <cellStyle name="_ET_STYLE_NoName_00__Book1_1 45" xfId="390"/>
    <cellStyle name="_ET_STYLE_NoName_00__Book1_1 46" xfId="353"/>
    <cellStyle name="_ET_STYLE_NoName_00__Book1_1 47" xfId="366"/>
    <cellStyle name="_ET_STYLE_NoName_00__Book1_1 48" xfId="385"/>
    <cellStyle name="_ET_STYLE_NoName_00__Book1_1 49" xfId="39"/>
    <cellStyle name="_ET_STYLE_NoName_00__Book1_1 5" xfId="38"/>
    <cellStyle name="_ET_STYLE_NoName_00__Book1_1 50" xfId="389"/>
    <cellStyle name="_ET_STYLE_NoName_00__Book1_1 6" xfId="391"/>
    <cellStyle name="_ET_STYLE_NoName_00__Book1_1 7" xfId="392"/>
    <cellStyle name="_ET_STYLE_NoName_00__Book1_1 8" xfId="394"/>
    <cellStyle name="_ET_STYLE_NoName_00__Book1_1 9" xfId="397"/>
    <cellStyle name="_ET_STYLE_NoName_00__Sheet3" xfId="30"/>
    <cellStyle name="_分县1" xfId="403"/>
    <cellStyle name="_分县2" xfId="253"/>
    <cellStyle name="_计财部审批要件" xfId="266"/>
    <cellStyle name="_弱电系统设备配置报价清单" xfId="109"/>
    <cellStyle name="0,0_x000d_&#10;NA_x000d_&#10;" xfId="407"/>
    <cellStyle name="20% - Accent1" xfId="406"/>
    <cellStyle name="20% - Accent1 2" xfId="410"/>
    <cellStyle name="20% - Accent1 3" xfId="415"/>
    <cellStyle name="20% - Accent1 4" xfId="418"/>
    <cellStyle name="20% - Accent1 5" xfId="421"/>
    <cellStyle name="20% - Accent1 6" xfId="425"/>
    <cellStyle name="20% - Accent1 7" xfId="428"/>
    <cellStyle name="20% - Accent1 8" xfId="435"/>
    <cellStyle name="20% - Accent1 9" xfId="438"/>
    <cellStyle name="20% - Accent2" xfId="441"/>
    <cellStyle name="20% - Accent2 2" xfId="444"/>
    <cellStyle name="20% - Accent2 3" xfId="449"/>
    <cellStyle name="20% - Accent2 4" xfId="451"/>
    <cellStyle name="20% - Accent2 5" xfId="453"/>
    <cellStyle name="20% - Accent2 6" xfId="456"/>
    <cellStyle name="20% - Accent2 7" xfId="459"/>
    <cellStyle name="20% - Accent2 8" xfId="463"/>
    <cellStyle name="20% - Accent2 9" xfId="465"/>
    <cellStyle name="20% - Accent3" xfId="467"/>
    <cellStyle name="20% - Accent3 2" xfId="81"/>
    <cellStyle name="20% - Accent3 3" xfId="472"/>
    <cellStyle name="20% - Accent3 4" xfId="476"/>
    <cellStyle name="20% - Accent3 5" xfId="479"/>
    <cellStyle name="20% - Accent3 6" xfId="482"/>
    <cellStyle name="20% - Accent3 7" xfId="485"/>
    <cellStyle name="20% - Accent3 8" xfId="490"/>
    <cellStyle name="20% - Accent3 9" xfId="491"/>
    <cellStyle name="20% - Accent4" xfId="494"/>
    <cellStyle name="20% - Accent4 2" xfId="497"/>
    <cellStyle name="20% - Accent4 3" xfId="504"/>
    <cellStyle name="20% - Accent4 4" xfId="26"/>
    <cellStyle name="20% - Accent4 5" xfId="507"/>
    <cellStyle name="20% - Accent4 6" xfId="515"/>
    <cellStyle name="20% - Accent4 7" xfId="522"/>
    <cellStyle name="20% - Accent4 8" xfId="530"/>
    <cellStyle name="20% - Accent4 9" xfId="537"/>
    <cellStyle name="20% - Accent5" xfId="539"/>
    <cellStyle name="20% - Accent5 2" xfId="542"/>
    <cellStyle name="20% - Accent5 3" xfId="544"/>
    <cellStyle name="20% - Accent5 4" xfId="546"/>
    <cellStyle name="20% - Accent5 5" xfId="548"/>
    <cellStyle name="20% - Accent5 6" xfId="550"/>
    <cellStyle name="20% - Accent5 7" xfId="553"/>
    <cellStyle name="20% - Accent5 8" xfId="556"/>
    <cellStyle name="20% - Accent5 9" xfId="558"/>
    <cellStyle name="20% - Accent6" xfId="559"/>
    <cellStyle name="20% - Accent6 2" xfId="562"/>
    <cellStyle name="20% - Accent6 3" xfId="566"/>
    <cellStyle name="20% - Accent6 4" xfId="569"/>
    <cellStyle name="20% - Accent6 5" xfId="573"/>
    <cellStyle name="20% - Accent6 6" xfId="577"/>
    <cellStyle name="20% - Accent6 7" xfId="580"/>
    <cellStyle name="20% - Accent6 8" xfId="583"/>
    <cellStyle name="20% - Accent6 9" xfId="585"/>
    <cellStyle name="20% - 强调文字颜色 1 10" xfId="238"/>
    <cellStyle name="20% - 强调文字颜色 1 2" xfId="586"/>
    <cellStyle name="20% - 强调文字颜色 1 3" xfId="409"/>
    <cellStyle name="20% - 强调文字颜色 1 3 2" xfId="588"/>
    <cellStyle name="20% - 强调文字颜色 1 3 3" xfId="593"/>
    <cellStyle name="20% - 强调文字颜色 1 3 4" xfId="596"/>
    <cellStyle name="20% - 强调文字颜色 1 3 5" xfId="599"/>
    <cellStyle name="20% - 强调文字颜色 1 3 6" xfId="602"/>
    <cellStyle name="20% - 强调文字颜色 1 3 7" xfId="605"/>
    <cellStyle name="20% - 强调文字颜色 1 4" xfId="414"/>
    <cellStyle name="20% - 强调文字颜色 1 4 2" xfId="364"/>
    <cellStyle name="20% - 强调文字颜色 1 5" xfId="417"/>
    <cellStyle name="20% - 强调文字颜色 1 5 2" xfId="226"/>
    <cellStyle name="20% - 强调文字颜色 1 6" xfId="420"/>
    <cellStyle name="20% - 强调文字颜色 1 6 2" xfId="606"/>
    <cellStyle name="20% - 强调文字颜色 1 7" xfId="424"/>
    <cellStyle name="20% - 强调文字颜色 1 7 2" xfId="212"/>
    <cellStyle name="20% - 强调文字颜色 1 8" xfId="427"/>
    <cellStyle name="20% - 强调文字颜色 1 8 2" xfId="607"/>
    <cellStyle name="20% - 强调文字颜色 1 9" xfId="434"/>
    <cellStyle name="20% - 强调文字颜色 1 9 2" xfId="398"/>
    <cellStyle name="20% - 强调文字颜色 2 10" xfId="610"/>
    <cellStyle name="20% - 强调文字颜色 2 2" xfId="612"/>
    <cellStyle name="20% - 强调文字颜色 2 3" xfId="443"/>
    <cellStyle name="20% - 强调文字颜色 2 3 2" xfId="306"/>
    <cellStyle name="20% - 强调文字颜色 2 3 3" xfId="315"/>
    <cellStyle name="20% - 强调文字颜色 2 3 4" xfId="615"/>
    <cellStyle name="20% - 强调文字颜色 2 3 5" xfId="618"/>
    <cellStyle name="20% - 强调文字颜色 2 3 6" xfId="9"/>
    <cellStyle name="20% - 强调文字颜色 2 3 7" xfId="620"/>
    <cellStyle name="20% - 强调文字颜色 2 4" xfId="448"/>
    <cellStyle name="20% - 强调文字颜色 2 4 2" xfId="53"/>
    <cellStyle name="20% - 强调文字颜色 2 5" xfId="450"/>
    <cellStyle name="20% - 强调文字颜色 2 5 2" xfId="622"/>
    <cellStyle name="20% - 强调文字颜色 2 6" xfId="452"/>
    <cellStyle name="20% - 强调文字颜色 2 6 2" xfId="431"/>
    <cellStyle name="20% - 强调文字颜色 2 7" xfId="455"/>
    <cellStyle name="20% - 强调文字颜色 2 7 2" xfId="460"/>
    <cellStyle name="20% - 强调文字颜色 2 8" xfId="458"/>
    <cellStyle name="20% - 强调文字颜色 2 8 2" xfId="486"/>
    <cellStyle name="20% - 强调文字颜色 2 9" xfId="462"/>
    <cellStyle name="20% - 强调文字颜色 2 9 2" xfId="527"/>
    <cellStyle name="20% - 强调文字颜色 3 10" xfId="626"/>
    <cellStyle name="20% - 强调文字颜色 3 2" xfId="629"/>
    <cellStyle name="20% - 强调文字颜色 3 3" xfId="80"/>
    <cellStyle name="20% - 强调文字颜色 3 3 2" xfId="107"/>
    <cellStyle name="20% - 强调文字颜色 3 3 3" xfId="631"/>
    <cellStyle name="20% - 强调文字颜色 3 3 4" xfId="249"/>
    <cellStyle name="20% - 强调文字颜色 3 3 5" xfId="251"/>
    <cellStyle name="20% - 强调文字颜色 3 3 6" xfId="331"/>
    <cellStyle name="20% - 强调文字颜色 3 3 7" xfId="627"/>
    <cellStyle name="20% - 强调文字颜色 3 4" xfId="471"/>
    <cellStyle name="20% - 强调文字颜色 3 4 2" xfId="632"/>
    <cellStyle name="20% - 强调文字颜色 3 5" xfId="475"/>
    <cellStyle name="20% - 强调文字颜色 3 5 2" xfId="635"/>
    <cellStyle name="20% - 强调文字颜色 3 6" xfId="478"/>
    <cellStyle name="20% - 强调文字颜色 3 6 2" xfId="636"/>
    <cellStyle name="20% - 强调文字颜色 3 7" xfId="481"/>
    <cellStyle name="20% - 强调文字颜色 3 7 2" xfId="638"/>
    <cellStyle name="20% - 强调文字颜色 3 8" xfId="484"/>
    <cellStyle name="20% - 强调文字颜色 3 8 2" xfId="639"/>
    <cellStyle name="20% - 强调文字颜色 3 9" xfId="489"/>
    <cellStyle name="20% - 强调文字颜色 3 9 2" xfId="66"/>
    <cellStyle name="20% - 强调文字颜色 4 10" xfId="260"/>
    <cellStyle name="20% - 强调文字颜色 4 2" xfId="641"/>
    <cellStyle name="20% - 强调文字颜色 4 3" xfId="496"/>
    <cellStyle name="20% - 强调文字颜色 4 3 2" xfId="643"/>
    <cellStyle name="20% - 强调文字颜色 4 3 3" xfId="645"/>
    <cellStyle name="20% - 强调文字颜色 4 3 4" xfId="646"/>
    <cellStyle name="20% - 强调文字颜色 4 3 5" xfId="647"/>
    <cellStyle name="20% - 强调文字颜色 4 3 6" xfId="648"/>
    <cellStyle name="20% - 强调文字颜色 4 3 7" xfId="649"/>
    <cellStyle name="20% - 强调文字颜色 4 4" xfId="503"/>
    <cellStyle name="20% - 强调文字颜色 4 4 2" xfId="37"/>
    <cellStyle name="20% - 强调文字颜色 4 5" xfId="25"/>
    <cellStyle name="20% - 强调文字颜色 4 5 2" xfId="652"/>
    <cellStyle name="20% - 强调文字颜色 4 6" xfId="506"/>
    <cellStyle name="20% - 强调文字颜色 4 6 2" xfId="653"/>
    <cellStyle name="20% - 强调文字颜色 4 7" xfId="514"/>
    <cellStyle name="20% - 强调文字颜色 4 7 2" xfId="82"/>
    <cellStyle name="20% - 强调文字颜色 4 8" xfId="521"/>
    <cellStyle name="20% - 强调文字颜色 4 8 2" xfId="657"/>
    <cellStyle name="20% - 强调文字颜色 4 9" xfId="529"/>
    <cellStyle name="20% - 强调文字颜色 4 9 2" xfId="665"/>
    <cellStyle name="20% - 强调文字颜色 5 10" xfId="247"/>
    <cellStyle name="20% - 强调文字颜色 5 2" xfId="667"/>
    <cellStyle name="20% - 强调文字颜色 5 3" xfId="541"/>
    <cellStyle name="20% - 强调文字颜色 5 3 2" xfId="669"/>
    <cellStyle name="20% - 强调文字颜色 5 3 3" xfId="42"/>
    <cellStyle name="20% - 强调文字颜色 5 3 4" xfId="43"/>
    <cellStyle name="20% - 强调文字颜色 5 3 5" xfId="46"/>
    <cellStyle name="20% - 强调文字颜色 5 3 6" xfId="33"/>
    <cellStyle name="20% - 强调文字颜色 5 3 7" xfId="670"/>
    <cellStyle name="20% - 强调文字颜色 5 4" xfId="543"/>
    <cellStyle name="20% - 强调文字颜色 5 4 2" xfId="439"/>
    <cellStyle name="20% - 强调文字颜色 5 5" xfId="545"/>
    <cellStyle name="20% - 强调文字颜色 5 5 2" xfId="672"/>
    <cellStyle name="20% - 强调文字颜色 5 6" xfId="547"/>
    <cellStyle name="20% - 强调文字颜色 5 6 2" xfId="339"/>
    <cellStyle name="20% - 强调文字颜色 5 7" xfId="549"/>
    <cellStyle name="20% - 强调文字颜色 5 7 2" xfId="396"/>
    <cellStyle name="20% - 强调文字颜色 5 8" xfId="552"/>
    <cellStyle name="20% - 强调文字颜色 5 8 2" xfId="673"/>
    <cellStyle name="20% - 强调文字颜色 5 9" xfId="555"/>
    <cellStyle name="20% - 强调文字颜色 5 9 2" xfId="149"/>
    <cellStyle name="20% - 强调文字颜色 6 10" xfId="674"/>
    <cellStyle name="20% - 强调文字颜色 6 2" xfId="676"/>
    <cellStyle name="20% - 强调文字颜色 6 3" xfId="561"/>
    <cellStyle name="20% - 强调文字颜色 6 3 2" xfId="230"/>
    <cellStyle name="20% - 强调文字颜色 6 3 3" xfId="678"/>
    <cellStyle name="20% - 强调文字颜色 6 3 4" xfId="682"/>
    <cellStyle name="20% - 强调文字颜色 6 3 5" xfId="71"/>
    <cellStyle name="20% - 强调文字颜色 6 3 6" xfId="686"/>
    <cellStyle name="20% - 强调文字颜色 6 3 7" xfId="691"/>
    <cellStyle name="20% - 强调文字颜色 6 4" xfId="565"/>
    <cellStyle name="20% - 强调文字颜色 6 4 2" xfId="124"/>
    <cellStyle name="20% - 强调文字颜色 6 5" xfId="568"/>
    <cellStyle name="20% - 强调文字颜色 6 5 2" xfId="259"/>
    <cellStyle name="20% - 强调文字颜色 6 6" xfId="572"/>
    <cellStyle name="20% - 强调文字颜色 6 6 2" xfId="696"/>
    <cellStyle name="20% - 强调文字颜色 6 7" xfId="576"/>
    <cellStyle name="20% - 强调文字颜色 6 7 2" xfId="287"/>
    <cellStyle name="20% - 强调文字颜色 6 8" xfId="579"/>
    <cellStyle name="20% - 强调文字颜色 6 8 2" xfId="697"/>
    <cellStyle name="20% - 强调文字颜色 6 9" xfId="582"/>
    <cellStyle name="20% - 强调文字颜色 6 9 2" xfId="698"/>
    <cellStyle name="40% - Accent1" xfId="700"/>
    <cellStyle name="40% - Accent1 2" xfId="705"/>
    <cellStyle name="40% - Accent1 3" xfId="711"/>
    <cellStyle name="40% - Accent1 4" xfId="54"/>
    <cellStyle name="40% - Accent1 5" xfId="718"/>
    <cellStyle name="40% - Accent1 6" xfId="724"/>
    <cellStyle name="40% - Accent1 7" xfId="730"/>
    <cellStyle name="40% - Accent1 8" xfId="737"/>
    <cellStyle name="40% - Accent1 9" xfId="742"/>
    <cellStyle name="40% - Accent2" xfId="744"/>
    <cellStyle name="40% - Accent2 2" xfId="746"/>
    <cellStyle name="40% - Accent2 3" xfId="748"/>
    <cellStyle name="40% - Accent2 4" xfId="623"/>
    <cellStyle name="40% - Accent2 5" xfId="750"/>
    <cellStyle name="40% - Accent2 6" xfId="752"/>
    <cellStyle name="40% - Accent2 7" xfId="753"/>
    <cellStyle name="40% - Accent2 8" xfId="755"/>
    <cellStyle name="40% - Accent2 9" xfId="756"/>
    <cellStyle name="40% - Accent3" xfId="695"/>
    <cellStyle name="40% - Accent3 2" xfId="422"/>
    <cellStyle name="40% - Accent3 3" xfId="426"/>
    <cellStyle name="40% - Accent3 4" xfId="432"/>
    <cellStyle name="40% - Accent3 5" xfId="436"/>
    <cellStyle name="40% - Accent3 6" xfId="757"/>
    <cellStyle name="40% - Accent3 7" xfId="758"/>
    <cellStyle name="40% - Accent3 8" xfId="759"/>
    <cellStyle name="40% - Accent3 9" xfId="761"/>
    <cellStyle name="40% - Accent4" xfId="764"/>
    <cellStyle name="40% - Accent4 2" xfId="454"/>
    <cellStyle name="40% - Accent4 3" xfId="457"/>
    <cellStyle name="40% - Accent4 4" xfId="461"/>
    <cellStyle name="40% - Accent4 5" xfId="464"/>
    <cellStyle name="40% - Accent4 6" xfId="765"/>
    <cellStyle name="40% - Accent4 7" xfId="766"/>
    <cellStyle name="40% - Accent4 8" xfId="767"/>
    <cellStyle name="40% - Accent4 9" xfId="768"/>
    <cellStyle name="40% - Accent5" xfId="771"/>
    <cellStyle name="40% - Accent5 2" xfId="480"/>
    <cellStyle name="40% - Accent5 3" xfId="483"/>
    <cellStyle name="40% - Accent5 4" xfId="487"/>
    <cellStyle name="40% - Accent5 5" xfId="493"/>
    <cellStyle name="40% - Accent5 6" xfId="235"/>
    <cellStyle name="40% - Accent5 7" xfId="21"/>
    <cellStyle name="40% - Accent5 8" xfId="772"/>
    <cellStyle name="40% - Accent5 9" xfId="773"/>
    <cellStyle name="40% - Accent6" xfId="776"/>
    <cellStyle name="40% - Accent6 2" xfId="513"/>
    <cellStyle name="40% - Accent6 3" xfId="520"/>
    <cellStyle name="40% - Accent6 4" xfId="528"/>
    <cellStyle name="40% - Accent6 5" xfId="535"/>
    <cellStyle name="40% - Accent6 6" xfId="781"/>
    <cellStyle name="40% - Accent6 7" xfId="785"/>
    <cellStyle name="40% - Accent6 8" xfId="788"/>
    <cellStyle name="40% - Accent6 9" xfId="791"/>
    <cellStyle name="40% - 强调文字颜色 1 10" xfId="311"/>
    <cellStyle name="40% - 强调文字颜色 1 2" xfId="793"/>
    <cellStyle name="40% - 强调文字颜色 1 3" xfId="656"/>
    <cellStyle name="40% - 强调文字颜色 1 3 2" xfId="794"/>
    <cellStyle name="40% - 强调文字颜色 1 3 3" xfId="797"/>
    <cellStyle name="40% - 强调文字颜色 1 3 4" xfId="799"/>
    <cellStyle name="40% - 强调文字颜色 1 3 5" xfId="12"/>
    <cellStyle name="40% - 强调文字颜色 1 3 6" xfId="802"/>
    <cellStyle name="40% - 强调文字颜色 1 3 7" xfId="805"/>
    <cellStyle name="40% - 强调文字颜色 1 4" xfId="809"/>
    <cellStyle name="40% - 强调文字颜色 1 4 2" xfId="811"/>
    <cellStyle name="40% - 强调文字颜色 1 5" xfId="813"/>
    <cellStyle name="40% - 强调文字颜色 1 5 2" xfId="814"/>
    <cellStyle name="40% - 强调文字颜色 1 6" xfId="815"/>
    <cellStyle name="40% - 强调文字颜色 1 6 2" xfId="817"/>
    <cellStyle name="40% - 强调文字颜色 1 7" xfId="818"/>
    <cellStyle name="40% - 强调文字颜色 1 7 2" xfId="820"/>
    <cellStyle name="40% - 强调文字颜色 1 8" xfId="816"/>
    <cellStyle name="40% - 强调文字颜色 1 8 2" xfId="45"/>
    <cellStyle name="40% - 强调文字颜色 1 9" xfId="821"/>
    <cellStyle name="40% - 强调文字颜色 1 9 2" xfId="387"/>
    <cellStyle name="40% - 强调文字颜色 2 10" xfId="492"/>
    <cellStyle name="40% - 强调文字颜色 2 2" xfId="822"/>
    <cellStyle name="40% - 强调文字颜色 2 3" xfId="662"/>
    <cellStyle name="40% - 强调文字颜色 2 3 2" xfId="825"/>
    <cellStyle name="40% - 强调文字颜色 2 3 3" xfId="826"/>
    <cellStyle name="40% - 强调文字颜色 2 3 4" xfId="827"/>
    <cellStyle name="40% - 强调文字颜色 2 3 5" xfId="829"/>
    <cellStyle name="40% - 强调文字颜色 2 3 6" xfId="335"/>
    <cellStyle name="40% - 强调文字颜色 2 3 7" xfId="589"/>
    <cellStyle name="40% - 强调文字颜色 2 4" xfId="624"/>
    <cellStyle name="40% - 强调文字颜色 2 4 2" xfId="121"/>
    <cellStyle name="40% - 强调文字颜色 2 5" xfId="830"/>
    <cellStyle name="40% - 强调文字颜色 2 5 2" xfId="831"/>
    <cellStyle name="40% - 强调文字颜色 2 6" xfId="832"/>
    <cellStyle name="40% - 强调文字颜色 2 6 2" xfId="833"/>
    <cellStyle name="40% - 强调文字颜色 2 7" xfId="835"/>
    <cellStyle name="40% - 强调文字颜色 2 7 2" xfId="179"/>
    <cellStyle name="40% - 强调文字颜色 2 8" xfId="819"/>
    <cellStyle name="40% - 强调文字颜色 2 8 2" xfId="837"/>
    <cellStyle name="40% - 强调文字颜色 2 9" xfId="839"/>
    <cellStyle name="40% - 强调文字颜色 2 9 2" xfId="842"/>
    <cellStyle name="40% - 强调文字颜色 3 10" xfId="36"/>
    <cellStyle name="40% - 强调文字颜色 3 2" xfId="590"/>
    <cellStyle name="40% - 强调文字颜色 3 3" xfId="594"/>
    <cellStyle name="40% - 强调文字颜色 3 3 2" xfId="283"/>
    <cellStyle name="40% - 强调文字颜色 3 3 3" xfId="57"/>
    <cellStyle name="40% - 强调文字颜色 3 3 4" xfId="292"/>
    <cellStyle name="40% - 强调文字颜色 3 3 5" xfId="298"/>
    <cellStyle name="40% - 强调文字颜色 3 3 6" xfId="302"/>
    <cellStyle name="40% - 强调文字颜色 3 3 7" xfId="307"/>
    <cellStyle name="40% - 强调文字颜色 3 4" xfId="597"/>
    <cellStyle name="40% - 强调文字颜色 3 4 2" xfId="847"/>
    <cellStyle name="40% - 强调文字颜色 3 5" xfId="600"/>
    <cellStyle name="40% - 强调文字颜色 3 5 2" xfId="327"/>
    <cellStyle name="40% - 强调文字颜色 3 6" xfId="603"/>
    <cellStyle name="40% - 强调文字颜色 3 6 2" xfId="412"/>
    <cellStyle name="40% - 强调文字颜色 3 7" xfId="848"/>
    <cellStyle name="40% - 强调文字颜色 3 7 2" xfId="445"/>
    <cellStyle name="40% - 强调文字颜色 3 8" xfId="44"/>
    <cellStyle name="40% - 强调文字颜色 3 8 2" xfId="469"/>
    <cellStyle name="40% - 强调文字颜色 3 9" xfId="32"/>
    <cellStyle name="40% - 强调文字颜色 3 9 2" xfId="501"/>
    <cellStyle name="40% - 强调文字颜色 4 10" xfId="661"/>
    <cellStyle name="40% - 强调文字颜色 4 2" xfId="62"/>
    <cellStyle name="40% - 强调文字颜色 4 3" xfId="368"/>
    <cellStyle name="40% - 强调文字颜色 4 3 2" xfId="89"/>
    <cellStyle name="40% - 强调文字颜色 4 3 3" xfId="849"/>
    <cellStyle name="40% - 强调文字颜色 4 3 4" xfId="850"/>
    <cellStyle name="40% - 强调文字颜色 4 3 5" xfId="851"/>
    <cellStyle name="40% - 强调文字颜色 4 3 6" xfId="852"/>
    <cellStyle name="40% - 强调文字颜色 4 3 7" xfId="106"/>
    <cellStyle name="40% - 强调文字颜色 4 4" xfId="853"/>
    <cellStyle name="40% - 强调文字颜色 4 4 2" xfId="854"/>
    <cellStyle name="40% - 强调文字颜色 4 5" xfId="855"/>
    <cellStyle name="40% - 强调文字颜色 4 5 2" xfId="856"/>
    <cellStyle name="40% - 强调文字颜色 4 6" xfId="857"/>
    <cellStyle name="40% - 强调文字颜色 4 6 2" xfId="858"/>
    <cellStyle name="40% - 强调文字颜色 4 7" xfId="859"/>
    <cellStyle name="40% - 强调文字颜色 4 7 2" xfId="863"/>
    <cellStyle name="40% - 强调文字颜色 4 8" xfId="865"/>
    <cellStyle name="40% - 强调文字颜色 4 8 2" xfId="866"/>
    <cellStyle name="40% - 强调文字颜色 4 9" xfId="354"/>
    <cellStyle name="40% - 强调文字颜色 4 9 2" xfId="867"/>
    <cellStyle name="40% - 强调文字颜色 5 10" xfId="868"/>
    <cellStyle name="40% - 强调文字颜色 5 2" xfId="870"/>
    <cellStyle name="40% - 强调文字颜色 5 3" xfId="871"/>
    <cellStyle name="40% - 强调文字颜色 5 3 2" xfId="873"/>
    <cellStyle name="40% - 强调文字颜色 5 3 3" xfId="874"/>
    <cellStyle name="40% - 强调文字颜色 5 3 4" xfId="875"/>
    <cellStyle name="40% - 强调文字颜色 5 3 5" xfId="876"/>
    <cellStyle name="40% - 强调文字颜色 5 3 6" xfId="877"/>
    <cellStyle name="40% - 强调文字颜色 5 3 7" xfId="642"/>
    <cellStyle name="40% - 强调文字颜色 5 4" xfId="878"/>
    <cellStyle name="40% - 强调文字颜色 5 4 2" xfId="880"/>
    <cellStyle name="40% - 强调文字颜色 5 5" xfId="881"/>
    <cellStyle name="40% - 强调文字颜色 5 5 2" xfId="884"/>
    <cellStyle name="40% - 强调文字颜色 5 6" xfId="885"/>
    <cellStyle name="40% - 强调文字颜色 5 6 2" xfId="886"/>
    <cellStyle name="40% - 强调文字颜色 5 7" xfId="887"/>
    <cellStyle name="40% - 强调文字颜色 5 7 2" xfId="888"/>
    <cellStyle name="40% - 强调文字颜色 5 8" xfId="889"/>
    <cellStyle name="40% - 强调文字颜色 5 8 2" xfId="891"/>
    <cellStyle name="40% - 强调文字颜色 5 9" xfId="892"/>
    <cellStyle name="40% - 强调文字颜色 5 9 2" xfId="895"/>
    <cellStyle name="40% - 强调文字颜色 6 10" xfId="897"/>
    <cellStyle name="40% - 强调文字颜色 6 2" xfId="900"/>
    <cellStyle name="40% - 强调文字颜色 6 3" xfId="902"/>
    <cellStyle name="40% - 强调文字颜色 6 3 2" xfId="903"/>
    <cellStyle name="40% - 强调文字颜色 6 3 3" xfId="904"/>
    <cellStyle name="40% - 强调文字颜色 6 3 4" xfId="905"/>
    <cellStyle name="40% - 强调文字颜色 6 3 5" xfId="906"/>
    <cellStyle name="40% - 强调文字颜色 6 3 6" xfId="907"/>
    <cellStyle name="40% - 强调文字颜色 6 3 7" xfId="668"/>
    <cellStyle name="40% - 强调文字颜色 6 4" xfId="909"/>
    <cellStyle name="40% - 强调文字颜色 6 4 2" xfId="911"/>
    <cellStyle name="40% - 强调文字颜色 6 5" xfId="913"/>
    <cellStyle name="40% - 强调文字颜色 6 5 2" xfId="914"/>
    <cellStyle name="40% - 强调文字颜色 6 6" xfId="916"/>
    <cellStyle name="40% - 强调文字颜色 6 6 2" xfId="917"/>
    <cellStyle name="40% - 强调文字颜色 6 7" xfId="918"/>
    <cellStyle name="40% - 强调文字颜色 6 7 2" xfId="920"/>
    <cellStyle name="40% - 强调文字颜色 6 8" xfId="921"/>
    <cellStyle name="40% - 强调文字颜色 6 8 2" xfId="923"/>
    <cellStyle name="40% - 强调文字颜色 6 9" xfId="924"/>
    <cellStyle name="40% - 强调文字颜色 6 9 2" xfId="928"/>
    <cellStyle name="60% - Accent1" xfId="932"/>
    <cellStyle name="60% - Accent1 2" xfId="935"/>
    <cellStyle name="60% - Accent1 3" xfId="939"/>
    <cellStyle name="60% - Accent1 4" xfId="943"/>
    <cellStyle name="60% - Accent1 5" xfId="946"/>
    <cellStyle name="60% - Accent1 6" xfId="949"/>
    <cellStyle name="60% - Accent1 7" xfId="952"/>
    <cellStyle name="60% - Accent1 8" xfId="955"/>
    <cellStyle name="60% - Accent1 9" xfId="959"/>
    <cellStyle name="60% - Accent2" xfId="962"/>
    <cellStyle name="60% - Accent2 2" xfId="963"/>
    <cellStyle name="60% - Accent2 3" xfId="964"/>
    <cellStyle name="60% - Accent2 4" xfId="966"/>
    <cellStyle name="60% - Accent2 5" xfId="968"/>
    <cellStyle name="60% - Accent2 6" xfId="970"/>
    <cellStyle name="60% - Accent2 7" xfId="972"/>
    <cellStyle name="60% - Accent2 8" xfId="974"/>
    <cellStyle name="60% - Accent2 9" xfId="976"/>
    <cellStyle name="60% - Accent3" xfId="979"/>
    <cellStyle name="60% - Accent3 2" xfId="980"/>
    <cellStyle name="60% - Accent3 3" xfId="981"/>
    <cellStyle name="60% - Accent3 4" xfId="982"/>
    <cellStyle name="60% - Accent3 5" xfId="983"/>
    <cellStyle name="60% - Accent3 6" xfId="984"/>
    <cellStyle name="60% - Accent3 7" xfId="985"/>
    <cellStyle name="60% - Accent3 8" xfId="986"/>
    <cellStyle name="60% - Accent3 9" xfId="988"/>
    <cellStyle name="60% - Accent4" xfId="991"/>
    <cellStyle name="60% - Accent4 2" xfId="992"/>
    <cellStyle name="60% - Accent4 3" xfId="993"/>
    <cellStyle name="60% - Accent4 4" xfId="995"/>
    <cellStyle name="60% - Accent4 5" xfId="997"/>
    <cellStyle name="60% - Accent4 6" xfId="999"/>
    <cellStyle name="60% - Accent4 7" xfId="1001"/>
    <cellStyle name="60% - Accent4 8" xfId="1003"/>
    <cellStyle name="60% - Accent4 9" xfId="1005"/>
    <cellStyle name="60% - Accent5" xfId="1007"/>
    <cellStyle name="60% - Accent5 2" xfId="1008"/>
    <cellStyle name="60% - Accent5 3" xfId="1009"/>
    <cellStyle name="60% - Accent5 4" xfId="1010"/>
    <cellStyle name="60% - Accent5 5" xfId="1011"/>
    <cellStyle name="60% - Accent5 6" xfId="1012"/>
    <cellStyle name="60% - Accent5 7" xfId="1013"/>
    <cellStyle name="60% - Accent5 8" xfId="1014"/>
    <cellStyle name="60% - Accent5 9" xfId="1015"/>
    <cellStyle name="60% - Accent6" xfId="1017"/>
    <cellStyle name="60% - Accent6 2" xfId="1019"/>
    <cellStyle name="60% - Accent6 3" xfId="1021"/>
    <cellStyle name="60% - Accent6 4" xfId="1024"/>
    <cellStyle name="60% - Accent6 5" xfId="1026"/>
    <cellStyle name="60% - Accent6 6" xfId="1028"/>
    <cellStyle name="60% - Accent6 7" xfId="1030"/>
    <cellStyle name="60% - Accent6 8" xfId="1032"/>
    <cellStyle name="60% - Accent6 9" xfId="1034"/>
    <cellStyle name="60% - 强调文字颜色 1 10" xfId="1036"/>
    <cellStyle name="60% - 强调文字颜色 1 2" xfId="1037"/>
    <cellStyle name="60% - 强调文字颜色 1 3" xfId="1038"/>
    <cellStyle name="60% - 强调文字颜色 1 3 2" xfId="1039"/>
    <cellStyle name="60% - 强调文字颜色 1 3 3" xfId="1040"/>
    <cellStyle name="60% - 强调文字颜色 1 3 4" xfId="1041"/>
    <cellStyle name="60% - 强调文字颜色 1 3 5" xfId="1042"/>
    <cellStyle name="60% - 强调文字颜色 1 3 6" xfId="1043"/>
    <cellStyle name="60% - 强调文字颜色 1 3 7" xfId="1045"/>
    <cellStyle name="60% - 强调文字颜色 1 4" xfId="1046"/>
    <cellStyle name="60% - 强调文字颜色 1 4 2" xfId="1047"/>
    <cellStyle name="60% - 强调文字颜色 1 5" xfId="1048"/>
    <cellStyle name="60% - 强调文字颜色 1 5 2" xfId="1049"/>
    <cellStyle name="60% - 强调文字颜色 1 6" xfId="1050"/>
    <cellStyle name="60% - 强调文字颜色 1 6 2" xfId="1052"/>
    <cellStyle name="60% - 强调文字颜色 1 7" xfId="1053"/>
    <cellStyle name="60% - 强调文字颜色 1 7 2" xfId="1054"/>
    <cellStyle name="60% - 强调文字颜色 1 8" xfId="1055"/>
    <cellStyle name="60% - 强调文字颜色 1 8 2" xfId="1056"/>
    <cellStyle name="60% - 强调文字颜色 1 9" xfId="1057"/>
    <cellStyle name="60% - 强调文字颜色 1 9 2" xfId="1058"/>
    <cellStyle name="60% - 强调文字颜色 2 10" xfId="1061"/>
    <cellStyle name="60% - 强调文字颜色 2 2" xfId="1062"/>
    <cellStyle name="60% - 强调文字颜色 2 3" xfId="31"/>
    <cellStyle name="60% - 强调文字颜色 2 3 2" xfId="1063"/>
    <cellStyle name="60% - 强调文字颜色 2 3 3" xfId="1066"/>
    <cellStyle name="60% - 强调文字颜色 2 3 4" xfId="1067"/>
    <cellStyle name="60% - 强调文字颜色 2 3 5" xfId="1068"/>
    <cellStyle name="60% - 强调文字颜色 2 3 6" xfId="1070"/>
    <cellStyle name="60% - 强调文字颜色 2 3 7" xfId="796"/>
    <cellStyle name="60% - 强调文字颜色 2 4" xfId="1071"/>
    <cellStyle name="60% - 强调文字颜色 2 4 2" xfId="1072"/>
    <cellStyle name="60% - 强调文字颜色 2 5" xfId="1073"/>
    <cellStyle name="60% - 强调文字颜色 2 5 2" xfId="1074"/>
    <cellStyle name="60% - 强调文字颜色 2 6" xfId="1076"/>
    <cellStyle name="60% - 强调文字颜色 2 6 2" xfId="1077"/>
    <cellStyle name="60% - 强调文字颜色 2 7" xfId="1078"/>
    <cellStyle name="60% - 强调文字颜色 2 7 2" xfId="1079"/>
    <cellStyle name="60% - 强调文字颜色 2 8" xfId="1081"/>
    <cellStyle name="60% - 强调文字颜色 2 8 2" xfId="1082"/>
    <cellStyle name="60% - 强调文字颜色 2 9" xfId="1083"/>
    <cellStyle name="60% - 强调文字颜色 2 9 2" xfId="1084"/>
    <cellStyle name="60% - 强调文字颜色 3 10" xfId="488"/>
    <cellStyle name="60% - 强调文字颜色 3 2" xfId="1086"/>
    <cellStyle name="60% - 强调文字颜色 3 3" xfId="1088"/>
    <cellStyle name="60% - 强调文字颜色 3 3 2" xfId="1090"/>
    <cellStyle name="60% - 强调文字颜色 3 3 3" xfId="1091"/>
    <cellStyle name="60% - 强调文字颜色 3 3 4" xfId="1092"/>
    <cellStyle name="60% - 强调文字颜色 3 3 5" xfId="1093"/>
    <cellStyle name="60% - 强调文字颜色 3 3 6" xfId="1094"/>
    <cellStyle name="60% - 强调文字颜色 3 3 7" xfId="823"/>
    <cellStyle name="60% - 强调文字颜色 3 4" xfId="1095"/>
    <cellStyle name="60% - 强调文字颜色 3 4 2" xfId="341"/>
    <cellStyle name="60% - 强调文字颜色 3 5" xfId="1097"/>
    <cellStyle name="60% - 强调文字颜色 3 5 2" xfId="1099"/>
    <cellStyle name="60% - 强调文字颜色 3 6" xfId="1100"/>
    <cellStyle name="60% - 强调文字颜色 3 6 2" xfId="1102"/>
    <cellStyle name="60% - 强调文字颜色 3 7" xfId="1103"/>
    <cellStyle name="60% - 强调文字颜色 3 7 2" xfId="1105"/>
    <cellStyle name="60% - 强调文字颜色 3 8" xfId="1106"/>
    <cellStyle name="60% - 强调文字颜色 3 8 2" xfId="1107"/>
    <cellStyle name="60% - 强调文字颜色 3 9" xfId="1108"/>
    <cellStyle name="60% - 强调文字颜色 3 9 2" xfId="1109"/>
    <cellStyle name="60% - 强调文字颜色 4 10" xfId="1110"/>
    <cellStyle name="60% - 强调文字颜色 4 2" xfId="1114"/>
    <cellStyle name="60% - 强调文字颜色 4 3" xfId="1118"/>
    <cellStyle name="60% - 强调文字颜色 4 3 2" xfId="1121"/>
    <cellStyle name="60% - 强调文字颜色 4 3 3" xfId="1124"/>
    <cellStyle name="60% - 强调文字颜色 4 3 4" xfId="1127"/>
    <cellStyle name="60% - 强调文字颜色 4 3 5" xfId="1129"/>
    <cellStyle name="60% - 强调文字颜色 4 3 6" xfId="1132"/>
    <cellStyle name="60% - 强调文字颜色 4 3 7" xfId="282"/>
    <cellStyle name="60% - 强调文字颜色 4 4" xfId="1136"/>
    <cellStyle name="60% - 强调文字颜色 4 4 2" xfId="1140"/>
    <cellStyle name="60% - 强调文字颜色 4 5" xfId="1144"/>
    <cellStyle name="60% - 强调文字颜色 4 5 2" xfId="1146"/>
    <cellStyle name="60% - 强调文字颜色 4 6" xfId="1150"/>
    <cellStyle name="60% - 强调文字颜色 4 6 2" xfId="1151"/>
    <cellStyle name="60% - 强调文字颜色 4 7" xfId="1155"/>
    <cellStyle name="60% - 强调文字颜色 4 7 2" xfId="1156"/>
    <cellStyle name="60% - 强调文字颜色 4 8" xfId="1159"/>
    <cellStyle name="60% - 强调文字颜色 4 8 2" xfId="1161"/>
    <cellStyle name="60% - 强调文字颜色 4 9" xfId="1165"/>
    <cellStyle name="60% - 强调文字颜色 4 9 2" xfId="1166"/>
    <cellStyle name="60% - 强调文字颜色 5 10" xfId="1171"/>
    <cellStyle name="60% - 强调文字颜色 5 2" xfId="1174"/>
    <cellStyle name="60% - 强调文字颜色 5 3" xfId="1175"/>
    <cellStyle name="60% - 强调文字颜色 5 3 2" xfId="1176"/>
    <cellStyle name="60% - 强调文字颜色 5 3 3" xfId="1177"/>
    <cellStyle name="60% - 强调文字颜色 5 3 4" xfId="1178"/>
    <cellStyle name="60% - 强调文字颜色 5 3 5" xfId="1179"/>
    <cellStyle name="60% - 强调文字颜色 5 3 6" xfId="1180"/>
    <cellStyle name="60% - 强调文字颜色 5 3 7" xfId="88"/>
    <cellStyle name="60% - 强调文字颜色 5 4" xfId="1181"/>
    <cellStyle name="60% - 强调文字颜色 5 4 2" xfId="1182"/>
    <cellStyle name="60% - 强调文字颜色 5 5" xfId="1183"/>
    <cellStyle name="60% - 强调文字颜色 5 5 2" xfId="1184"/>
    <cellStyle name="60% - 强调文字颜色 5 6" xfId="1185"/>
    <cellStyle name="60% - 强调文字颜色 5 6 2" xfId="1186"/>
    <cellStyle name="60% - 强调文字颜色 5 7" xfId="1187"/>
    <cellStyle name="60% - 强调文字颜色 5 7 2" xfId="1188"/>
    <cellStyle name="60% - 强调文字颜色 5 8" xfId="1192"/>
    <cellStyle name="60% - 强调文字颜色 5 8 2" xfId="1193"/>
    <cellStyle name="60% - 强调文字颜色 5 9" xfId="1194"/>
    <cellStyle name="60% - 强调文字颜色 5 9 2" xfId="1195"/>
    <cellStyle name="60% - 强调文字颜色 6 10" xfId="1197"/>
    <cellStyle name="60% - 强调文字颜色 6 2" xfId="1198"/>
    <cellStyle name="60% - 强调文字颜色 6 3" xfId="1199"/>
    <cellStyle name="60% - 强调文字颜色 6 3 2" xfId="1202"/>
    <cellStyle name="60% - 强调文字颜色 6 3 3" xfId="1203"/>
    <cellStyle name="60% - 强调文字颜色 6 3 4" xfId="1204"/>
    <cellStyle name="60% - 强调文字颜色 6 3 5" xfId="1205"/>
    <cellStyle name="60% - 强调文字颜色 6 3 6" xfId="1206"/>
    <cellStyle name="60% - 强调文字颜色 6 3 7" xfId="872"/>
    <cellStyle name="60% - 强调文字颜色 6 4" xfId="1207"/>
    <cellStyle name="60% - 强调文字颜色 6 4 2" xfId="1209"/>
    <cellStyle name="60% - 强调文字颜色 6 5" xfId="1210"/>
    <cellStyle name="60% - 强调文字颜色 6 5 2" xfId="102"/>
    <cellStyle name="60% - 强调文字颜色 6 6" xfId="1211"/>
    <cellStyle name="60% - 强调文字颜色 6 6 2" xfId="1212"/>
    <cellStyle name="60% - 强调文字颜色 6 7" xfId="1214"/>
    <cellStyle name="60% - 强调文字颜色 6 7 2" xfId="1216"/>
    <cellStyle name="60% - 强调文字颜色 6 8" xfId="1218"/>
    <cellStyle name="60% - 强调文字颜色 6 8 2" xfId="1219"/>
    <cellStyle name="60% - 强调文字颜色 6 9" xfId="1222"/>
    <cellStyle name="60% - 强调文字颜色 6 9 2" xfId="1223"/>
    <cellStyle name="6mal" xfId="1229"/>
    <cellStyle name="Accent1" xfId="1231"/>
    <cellStyle name="Accent1 - 20%" xfId="404"/>
    <cellStyle name="Accent1 - 20% 2" xfId="408"/>
    <cellStyle name="Accent1 - 20% 3" xfId="413"/>
    <cellStyle name="Accent1 - 20% 4" xfId="416"/>
    <cellStyle name="Accent1 - 20% 5" xfId="419"/>
    <cellStyle name="Accent1 - 20% 6" xfId="423"/>
    <cellStyle name="Accent1 - 20% 7" xfId="430"/>
    <cellStyle name="Accent1 - 20% 8" xfId="433"/>
    <cellStyle name="Accent1 - 20% 9" xfId="437"/>
    <cellStyle name="Accent1 - 40%" xfId="1234"/>
    <cellStyle name="Accent1 - 40% 2" xfId="1236"/>
    <cellStyle name="Accent1 - 40% 3" xfId="1238"/>
    <cellStyle name="Accent1 - 40% 4" xfId="1240"/>
    <cellStyle name="Accent1 - 40% 5" xfId="1245"/>
    <cellStyle name="Accent1 - 40% 6" xfId="1249"/>
    <cellStyle name="Accent1 - 40% 7" xfId="1253"/>
    <cellStyle name="Accent1 - 40% 8" xfId="1257"/>
    <cellStyle name="Accent1 - 40% 9" xfId="1261"/>
    <cellStyle name="Accent1 - 60%" xfId="1263"/>
    <cellStyle name="Accent1 - 60% 2" xfId="1265"/>
    <cellStyle name="Accent1 - 60% 3" xfId="1266"/>
    <cellStyle name="Accent1 - 60% 4" xfId="1267"/>
    <cellStyle name="Accent1 - 60% 5" xfId="1268"/>
    <cellStyle name="Accent1 - 60% 6" xfId="1270"/>
    <cellStyle name="Accent1 - 60% 7" xfId="1271"/>
    <cellStyle name="Accent1 - 60% 8" xfId="1272"/>
    <cellStyle name="Accent1 - 60% 9" xfId="1273"/>
    <cellStyle name="Accent1 2" xfId="1274"/>
    <cellStyle name="Accent1 3" xfId="1275"/>
    <cellStyle name="Accent1 4" xfId="1276"/>
    <cellStyle name="Accent1 5" xfId="1277"/>
    <cellStyle name="Accent1 6" xfId="1278"/>
    <cellStyle name="Accent1 7" xfId="1279"/>
    <cellStyle name="Accent1 8" xfId="1280"/>
    <cellStyle name="Accent1 9" xfId="1281"/>
    <cellStyle name="Accent1_公安安全支出补充表5.14" xfId="1282"/>
    <cellStyle name="Accent2" xfId="1284"/>
    <cellStyle name="Accent2 - 20%" xfId="1286"/>
    <cellStyle name="Accent2 - 20% 2" xfId="1287"/>
    <cellStyle name="Accent2 - 20% 3" xfId="1289"/>
    <cellStyle name="Accent2 - 20% 4" xfId="1290"/>
    <cellStyle name="Accent2 - 20% 5" xfId="1291"/>
    <cellStyle name="Accent2 - 20% 6" xfId="1292"/>
    <cellStyle name="Accent2 - 20% 7" xfId="1293"/>
    <cellStyle name="Accent2 - 20% 8" xfId="1294"/>
    <cellStyle name="Accent2 - 20% 9" xfId="1295"/>
    <cellStyle name="Accent2 - 40%" xfId="16"/>
    <cellStyle name="Accent2 - 40% 2" xfId="1298"/>
    <cellStyle name="Accent2 - 40% 3" xfId="1301"/>
    <cellStyle name="Accent2 - 40% 4" xfId="1303"/>
    <cellStyle name="Accent2 - 40% 5" xfId="1305"/>
    <cellStyle name="Accent2 - 40% 6" xfId="1308"/>
    <cellStyle name="Accent2 - 40% 7" xfId="1309"/>
    <cellStyle name="Accent2 - 40% 8" xfId="1310"/>
    <cellStyle name="Accent2 - 40% 9" xfId="1311"/>
    <cellStyle name="Accent2 - 60%" xfId="1312"/>
    <cellStyle name="Accent2 - 60% 2" xfId="1313"/>
    <cellStyle name="Accent2 - 60% 3" xfId="1314"/>
    <cellStyle name="Accent2 - 60% 4" xfId="1315"/>
    <cellStyle name="Accent2 - 60% 5" xfId="1317"/>
    <cellStyle name="Accent2 - 60% 6" xfId="1319"/>
    <cellStyle name="Accent2 - 60% 7" xfId="1321"/>
    <cellStyle name="Accent2 - 60% 8" xfId="1324"/>
    <cellStyle name="Accent2 - 60% 9" xfId="1327"/>
    <cellStyle name="Accent2 2" xfId="1328"/>
    <cellStyle name="Accent2 3" xfId="1329"/>
    <cellStyle name="Accent2 4" xfId="1331"/>
    <cellStyle name="Accent2 5" xfId="1333"/>
    <cellStyle name="Accent2 6" xfId="1335"/>
    <cellStyle name="Accent2 7" xfId="1337"/>
    <cellStyle name="Accent2 8" xfId="1339"/>
    <cellStyle name="Accent2 9" xfId="1341"/>
    <cellStyle name="Accent2_公安安全支出补充表5.14" xfId="1342"/>
    <cellStyle name="Accent3" xfId="1347"/>
    <cellStyle name="Accent3 - 20%" xfId="1349"/>
    <cellStyle name="Accent3 - 20% 2" xfId="1351"/>
    <cellStyle name="Accent3 - 20% 3" xfId="1353"/>
    <cellStyle name="Accent3 - 20% 4" xfId="1356"/>
    <cellStyle name="Accent3 - 20% 5" xfId="1359"/>
    <cellStyle name="Accent3 - 20% 6" xfId="1362"/>
    <cellStyle name="Accent3 - 20% 7" xfId="1365"/>
    <cellStyle name="Accent3 - 20% 8" xfId="1368"/>
    <cellStyle name="Accent3 - 20% 9" xfId="1371"/>
    <cellStyle name="Accent3 - 40%" xfId="1373"/>
    <cellStyle name="Accent3 - 40% 2" xfId="1375"/>
    <cellStyle name="Accent3 - 40% 3" xfId="1377"/>
    <cellStyle name="Accent3 - 40% 4" xfId="1379"/>
    <cellStyle name="Accent3 - 40% 5" xfId="1381"/>
    <cellStyle name="Accent3 - 40% 6" xfId="1383"/>
    <cellStyle name="Accent3 - 40% 7" xfId="1384"/>
    <cellStyle name="Accent3 - 40% 8" xfId="1386"/>
    <cellStyle name="Accent3 - 40% 9" xfId="1387"/>
    <cellStyle name="Accent3 - 60%" xfId="1389"/>
    <cellStyle name="Accent3 - 60% 2" xfId="1393"/>
    <cellStyle name="Accent3 - 60% 3" xfId="1397"/>
    <cellStyle name="Accent3 - 60% 4" xfId="1400"/>
    <cellStyle name="Accent3 - 60% 5" xfId="1402"/>
    <cellStyle name="Accent3 - 60% 6" xfId="1404"/>
    <cellStyle name="Accent3 - 60% 7" xfId="1406"/>
    <cellStyle name="Accent3 - 60% 8" xfId="1409"/>
    <cellStyle name="Accent3 - 60% 9" xfId="1412"/>
    <cellStyle name="Accent3 2" xfId="1414"/>
    <cellStyle name="Accent3 3" xfId="1416"/>
    <cellStyle name="Accent3 4" xfId="1418"/>
    <cellStyle name="Accent3 5" xfId="1420"/>
    <cellStyle name="Accent3 6" xfId="1422"/>
    <cellStyle name="Accent3 7" xfId="1424"/>
    <cellStyle name="Accent3 8" xfId="1426"/>
    <cellStyle name="Accent3 9" xfId="1429"/>
    <cellStyle name="Accent3_公安安全支出补充表5.14" xfId="1431"/>
    <cellStyle name="Accent4" xfId="1435"/>
    <cellStyle name="Accent4 - 20%" xfId="1436"/>
    <cellStyle name="Accent4 - 20% 2" xfId="1439"/>
    <cellStyle name="Accent4 - 20% 3" xfId="1104"/>
    <cellStyle name="Accent4 - 20% 4" xfId="1440"/>
    <cellStyle name="Accent4 - 20% 5" xfId="1441"/>
    <cellStyle name="Accent4 - 20% 6" xfId="1442"/>
    <cellStyle name="Accent4 - 20% 7" xfId="1443"/>
    <cellStyle name="Accent4 - 20% 8" xfId="178"/>
    <cellStyle name="Accent4 - 20% 9" xfId="1444"/>
    <cellStyle name="Accent4 - 40%" xfId="1445"/>
    <cellStyle name="Accent4 - 40% 2" xfId="1164"/>
    <cellStyle name="Accent4 - 40% 3" xfId="1191"/>
    <cellStyle name="Accent4 - 40% 4" xfId="1449"/>
    <cellStyle name="Accent4 - 40% 5" xfId="1452"/>
    <cellStyle name="Accent4 - 40% 6" xfId="1455"/>
    <cellStyle name="Accent4 - 40% 7" xfId="1458"/>
    <cellStyle name="Accent4 - 40% 8" xfId="862"/>
    <cellStyle name="Accent4 - 40% 9" xfId="1461"/>
    <cellStyle name="Accent4 - 60%" xfId="1464"/>
    <cellStyle name="Accent4 - 60% 2" xfId="1466"/>
    <cellStyle name="Accent4 - 60% 3" xfId="1469"/>
    <cellStyle name="Accent4 - 60% 4" xfId="1471"/>
    <cellStyle name="Accent4 - 60% 5" xfId="1472"/>
    <cellStyle name="Accent4 - 60% 6" xfId="1474"/>
    <cellStyle name="Accent4 - 60% 7" xfId="1475"/>
    <cellStyle name="Accent4 - 60% 8" xfId="919"/>
    <cellStyle name="Accent4 - 60% 9" xfId="1477"/>
    <cellStyle name="Accent4 2" xfId="1478"/>
    <cellStyle name="Accent4 3" xfId="1481"/>
    <cellStyle name="Accent4 4" xfId="1484"/>
    <cellStyle name="Accent4 5" xfId="1489"/>
    <cellStyle name="Accent4 6" xfId="1494"/>
    <cellStyle name="Accent4 7" xfId="1499"/>
    <cellStyle name="Accent4 8" xfId="1504"/>
    <cellStyle name="Accent4 9" xfId="1509"/>
    <cellStyle name="Accent4_公安安全支出补充表5.14" xfId="1513"/>
    <cellStyle name="Accent5" xfId="1515"/>
    <cellStyle name="Accent5 - 20%" xfId="1516"/>
    <cellStyle name="Accent5 - 20% 2" xfId="1518"/>
    <cellStyle name="Accent5 - 20% 3" xfId="1519"/>
    <cellStyle name="Accent5 - 20% 4" xfId="1520"/>
    <cellStyle name="Accent5 - 20% 5" xfId="1521"/>
    <cellStyle name="Accent5 - 20% 6" xfId="1522"/>
    <cellStyle name="Accent5 - 20% 7" xfId="1523"/>
    <cellStyle name="Accent5 - 20% 8" xfId="1524"/>
    <cellStyle name="Accent5 - 20% 9" xfId="1525"/>
    <cellStyle name="Accent5 - 40%" xfId="1526"/>
    <cellStyle name="Accent5 - 40% 2" xfId="1527"/>
    <cellStyle name="Accent5 - 40% 3" xfId="1529"/>
    <cellStyle name="Accent5 - 40% 4" xfId="1531"/>
    <cellStyle name="Accent5 - 40% 5" xfId="1533"/>
    <cellStyle name="Accent5 - 40% 6" xfId="930"/>
    <cellStyle name="Accent5 - 40% 7" xfId="960"/>
    <cellStyle name="Accent5 - 40% 8" xfId="977"/>
    <cellStyle name="Accent5 - 40% 9" xfId="990"/>
    <cellStyle name="Accent5 - 60%" xfId="1536"/>
    <cellStyle name="Accent5 - 60% 2" xfId="828"/>
    <cellStyle name="Accent5 - 60% 3" xfId="334"/>
    <cellStyle name="Accent5 - 60% 4" xfId="587"/>
    <cellStyle name="Accent5 - 60% 5" xfId="592"/>
    <cellStyle name="Accent5 - 60% 6" xfId="595"/>
    <cellStyle name="Accent5 - 60% 7" xfId="598"/>
    <cellStyle name="Accent5 - 60% 8" xfId="601"/>
    <cellStyle name="Accent5 - 60% 9" xfId="604"/>
    <cellStyle name="Accent5 2" xfId="1539"/>
    <cellStyle name="Accent5 3" xfId="1542"/>
    <cellStyle name="Accent5 4" xfId="1545"/>
    <cellStyle name="Accent5 5" xfId="1550"/>
    <cellStyle name="Accent5 6" xfId="1555"/>
    <cellStyle name="Accent5 7" xfId="1560"/>
    <cellStyle name="Accent5 8" xfId="1565"/>
    <cellStyle name="Accent5 9" xfId="1570"/>
    <cellStyle name="Accent5_公安安全支出补充表5.14" xfId="1572"/>
    <cellStyle name="Accent6" xfId="1574"/>
    <cellStyle name="Accent6 - 20%" xfId="777"/>
    <cellStyle name="Accent6 - 20% 2" xfId="1575"/>
    <cellStyle name="Accent6 - 20% 3" xfId="1576"/>
    <cellStyle name="Accent6 - 20% 4" xfId="1578"/>
    <cellStyle name="Accent6 - 20% 5" xfId="1579"/>
    <cellStyle name="Accent6 - 20% 6" xfId="1580"/>
    <cellStyle name="Accent6 - 20% 7" xfId="1372"/>
    <cellStyle name="Accent6 - 20% 8" xfId="1582"/>
    <cellStyle name="Accent6 - 20% 9" xfId="1583"/>
    <cellStyle name="Accent6 - 40%" xfId="1584"/>
    <cellStyle name="Accent6 - 40% 2" xfId="1586"/>
    <cellStyle name="Accent6 - 40% 3" xfId="116"/>
    <cellStyle name="Accent6 - 40% 4" xfId="1588"/>
    <cellStyle name="Accent6 - 40% 5" xfId="1590"/>
    <cellStyle name="Accent6 - 40% 6" xfId="1592"/>
    <cellStyle name="Accent6 - 40% 7" xfId="1594"/>
    <cellStyle name="Accent6 - 40% 8" xfId="1595"/>
    <cellStyle name="Accent6 - 40% 9" xfId="1596"/>
    <cellStyle name="Accent6 - 60%" xfId="1597"/>
    <cellStyle name="Accent6 - 60% 2" xfId="1598"/>
    <cellStyle name="Accent6 - 60% 3" xfId="1599"/>
    <cellStyle name="Accent6 - 60% 4" xfId="1600"/>
    <cellStyle name="Accent6 - 60% 5" xfId="1601"/>
    <cellStyle name="Accent6 - 60% 6" xfId="1602"/>
    <cellStyle name="Accent6 - 60% 7" xfId="1604"/>
    <cellStyle name="Accent6 - 60% 8" xfId="1606"/>
    <cellStyle name="Accent6 - 60% 9" xfId="1608"/>
    <cellStyle name="Accent6 2" xfId="1610"/>
    <cellStyle name="Accent6 3" xfId="1612"/>
    <cellStyle name="Accent6 4" xfId="1614"/>
    <cellStyle name="Accent6 5" xfId="1615"/>
    <cellStyle name="Accent6 6" xfId="1617"/>
    <cellStyle name="Accent6 7" xfId="1618"/>
    <cellStyle name="Accent6 8" xfId="1619"/>
    <cellStyle name="Accent6 9" xfId="1620"/>
    <cellStyle name="Accent6_公安安全支出补充表5.14" xfId="1623"/>
    <cellStyle name="args.style" xfId="1624"/>
    <cellStyle name="Bad" xfId="1626"/>
    <cellStyle name="Bad 2" xfId="1629"/>
    <cellStyle name="Bad 3" xfId="1633"/>
    <cellStyle name="Bad 4" xfId="1637"/>
    <cellStyle name="Bad 5" xfId="1641"/>
    <cellStyle name="Bad 6" xfId="1645"/>
    <cellStyle name="Bad 7" xfId="1649"/>
    <cellStyle name="Bad 8" xfId="1651"/>
    <cellStyle name="Bad 9" xfId="1653"/>
    <cellStyle name="Calc Currency (0)" xfId="1655"/>
    <cellStyle name="Calculation" xfId="1657"/>
    <cellStyle name="Calculation 2" xfId="1658"/>
    <cellStyle name="Calculation 3" xfId="1659"/>
    <cellStyle name="Calculation 4" xfId="1660"/>
    <cellStyle name="Calculation 5" xfId="1661"/>
    <cellStyle name="Calculation 6" xfId="1662"/>
    <cellStyle name="Calculation 7" xfId="1663"/>
    <cellStyle name="Calculation 8" xfId="922"/>
    <cellStyle name="Calculation 9" xfId="1664"/>
    <cellStyle name="Check Cell" xfId="262"/>
    <cellStyle name="Check Cell 2" xfId="1666"/>
    <cellStyle name="Check Cell 3" xfId="1667"/>
    <cellStyle name="Check Cell 4" xfId="1668"/>
    <cellStyle name="Check Cell 5" xfId="1669"/>
    <cellStyle name="Check Cell 6" xfId="1671"/>
    <cellStyle name="Check Cell 7" xfId="1672"/>
    <cellStyle name="Check Cell 8" xfId="1673"/>
    <cellStyle name="Check Cell 9" xfId="1674"/>
    <cellStyle name="ColLevel_0" xfId="1675"/>
    <cellStyle name="Comma [0]" xfId="1678"/>
    <cellStyle name="comma zerodec" xfId="1679"/>
    <cellStyle name="Comma_!!!GO" xfId="1681"/>
    <cellStyle name="Currency [0]" xfId="1685"/>
    <cellStyle name="Currency_!!!GO" xfId="1686"/>
    <cellStyle name="Currency1" xfId="222"/>
    <cellStyle name="Date" xfId="1688"/>
    <cellStyle name="Dollar (zero dec)" xfId="1693"/>
    <cellStyle name="Explanatory Text" xfId="1022"/>
    <cellStyle name="Explanatory Text 2" xfId="1695"/>
    <cellStyle name="Explanatory Text 3" xfId="1698"/>
    <cellStyle name="Explanatory Text 4" xfId="1700"/>
    <cellStyle name="Explanatory Text 5" xfId="1702"/>
    <cellStyle name="Explanatory Text 6" xfId="1703"/>
    <cellStyle name="Explanatory Text 7" xfId="1704"/>
    <cellStyle name="Explanatory Text 8" xfId="1705"/>
    <cellStyle name="Explanatory Text 9" xfId="1706"/>
    <cellStyle name="Fixed" xfId="1708"/>
    <cellStyle name="Good" xfId="1710"/>
    <cellStyle name="Good 2" xfId="1713"/>
    <cellStyle name="Good 3" xfId="1714"/>
    <cellStyle name="Good 4" xfId="1715"/>
    <cellStyle name="Good 5" xfId="1716"/>
    <cellStyle name="Good 6" xfId="1230"/>
    <cellStyle name="Good 7" xfId="1283"/>
    <cellStyle name="Good 8" xfId="1346"/>
    <cellStyle name="Good 9" xfId="1434"/>
    <cellStyle name="Grey" xfId="1721"/>
    <cellStyle name="Header1" xfId="1722"/>
    <cellStyle name="Header1 10" xfId="1725"/>
    <cellStyle name="Header1 11" xfId="1729"/>
    <cellStyle name="Header1 12" xfId="1731"/>
    <cellStyle name="Header1 13" xfId="1733"/>
    <cellStyle name="Header1 14" xfId="1139"/>
    <cellStyle name="Header1 15" xfId="1736"/>
    <cellStyle name="Header1 16" xfId="1741"/>
    <cellStyle name="Header1 17" xfId="1745"/>
    <cellStyle name="Header1 18" xfId="1749"/>
    <cellStyle name="Header1 19" xfId="845"/>
    <cellStyle name="Header1 2" xfId="1751"/>
    <cellStyle name="Header1 20" xfId="1737"/>
    <cellStyle name="Header1 21" xfId="1742"/>
    <cellStyle name="Header1 22" xfId="1746"/>
    <cellStyle name="Header1 23" xfId="1750"/>
    <cellStyle name="Header1 24" xfId="846"/>
    <cellStyle name="Header1 25" xfId="1754"/>
    <cellStyle name="Header1 26" xfId="1757"/>
    <cellStyle name="Header1 27" xfId="703"/>
    <cellStyle name="Header1 28" xfId="709"/>
    <cellStyle name="Header1 29" xfId="51"/>
    <cellStyle name="Header1 3" xfId="1759"/>
    <cellStyle name="Header1 30" xfId="1755"/>
    <cellStyle name="Header1 31" xfId="1758"/>
    <cellStyle name="Header1 32" xfId="704"/>
    <cellStyle name="Header1 33" xfId="710"/>
    <cellStyle name="Header1 34" xfId="52"/>
    <cellStyle name="Header1 35" xfId="716"/>
    <cellStyle name="Header1 36" xfId="722"/>
    <cellStyle name="Header1 37" xfId="728"/>
    <cellStyle name="Header1 38" xfId="735"/>
    <cellStyle name="Header1 39" xfId="740"/>
    <cellStyle name="Header1 4" xfId="1760"/>
    <cellStyle name="Header1 40" xfId="717"/>
    <cellStyle name="Header1 41" xfId="723"/>
    <cellStyle name="Header1 42" xfId="729"/>
    <cellStyle name="Header1 43" xfId="736"/>
    <cellStyle name="Header1 44" xfId="741"/>
    <cellStyle name="Header1 45" xfId="1719"/>
    <cellStyle name="Header1 46" xfId="1762"/>
    <cellStyle name="Header1 47" xfId="1764"/>
    <cellStyle name="Header1 48" xfId="1766"/>
    <cellStyle name="Header1 49" xfId="1767"/>
    <cellStyle name="Header1 5" xfId="1769"/>
    <cellStyle name="Header1 50" xfId="1720"/>
    <cellStyle name="Header1 51" xfId="1763"/>
    <cellStyle name="Header1 52" xfId="1765"/>
    <cellStyle name="Header1 6" xfId="1770"/>
    <cellStyle name="Header1 7" xfId="1771"/>
    <cellStyle name="Header1 8" xfId="1772"/>
    <cellStyle name="Header1 9" xfId="1773"/>
    <cellStyle name="Header2" xfId="1774"/>
    <cellStyle name="Header2 10" xfId="1776"/>
    <cellStyle name="Header2 11" xfId="1778"/>
    <cellStyle name="Header2 12" xfId="1780"/>
    <cellStyle name="Header2 13" xfId="1783"/>
    <cellStyle name="Header2 14" xfId="1168"/>
    <cellStyle name="Header2 15" xfId="1785"/>
    <cellStyle name="Header2 16" xfId="1788"/>
    <cellStyle name="Header2 17" xfId="1792"/>
    <cellStyle name="Header2 18" xfId="1795"/>
    <cellStyle name="Header2 19" xfId="499"/>
    <cellStyle name="Header2 2" xfId="1798"/>
    <cellStyle name="Header2 20" xfId="1786"/>
    <cellStyle name="Header2 21" xfId="1789"/>
    <cellStyle name="Header2 22" xfId="1793"/>
    <cellStyle name="Header2 23" xfId="1796"/>
    <cellStyle name="Header2 24" xfId="500"/>
    <cellStyle name="Header2 25" xfId="28"/>
    <cellStyle name="Header2 26" xfId="1799"/>
    <cellStyle name="Header2 27" xfId="509"/>
    <cellStyle name="Header2 28" xfId="517"/>
    <cellStyle name="Header2 29" xfId="524"/>
    <cellStyle name="Header2 3" xfId="1802"/>
    <cellStyle name="Header2 30" xfId="29"/>
    <cellStyle name="Header2 31" xfId="1800"/>
    <cellStyle name="Header2 32" xfId="510"/>
    <cellStyle name="Header2 33" xfId="518"/>
    <cellStyle name="Header2 34" xfId="525"/>
    <cellStyle name="Header2 35" xfId="532"/>
    <cellStyle name="Header2 36" xfId="778"/>
    <cellStyle name="Header2 37" xfId="782"/>
    <cellStyle name="Header2 38" xfId="786"/>
    <cellStyle name="Header2 39" xfId="789"/>
    <cellStyle name="Header2 4" xfId="1803"/>
    <cellStyle name="Header2 40" xfId="533"/>
    <cellStyle name="Header2 41" xfId="779"/>
    <cellStyle name="Header2 42" xfId="783"/>
    <cellStyle name="Header2 43" xfId="787"/>
    <cellStyle name="Header2 44" xfId="790"/>
    <cellStyle name="Header2 45" xfId="1804"/>
    <cellStyle name="Header2 46" xfId="1807"/>
    <cellStyle name="Header2 47" xfId="1809"/>
    <cellStyle name="Header2 48" xfId="1811"/>
    <cellStyle name="Header2 49" xfId="1812"/>
    <cellStyle name="Header2 5" xfId="1813"/>
    <cellStyle name="Header2 50" xfId="1805"/>
    <cellStyle name="Header2 51" xfId="1808"/>
    <cellStyle name="Header2 52" xfId="1810"/>
    <cellStyle name="Header2 6" xfId="1815"/>
    <cellStyle name="Header2 7" xfId="1816"/>
    <cellStyle name="Header2 8" xfId="1817"/>
    <cellStyle name="Header2 9" xfId="1819"/>
    <cellStyle name="Heading 1" xfId="1823"/>
    <cellStyle name="Heading 1 2" xfId="1825"/>
    <cellStyle name="Heading 1 3" xfId="1826"/>
    <cellStyle name="Heading 1 4" xfId="1827"/>
    <cellStyle name="Heading 1 5" xfId="1828"/>
    <cellStyle name="Heading 1 6" xfId="1829"/>
    <cellStyle name="Heading 1 7" xfId="1831"/>
    <cellStyle name="Heading 1 8" xfId="1832"/>
    <cellStyle name="Heading 1 9" xfId="1834"/>
    <cellStyle name="Heading 2" xfId="1835"/>
    <cellStyle name="Heading 2 2" xfId="1837"/>
    <cellStyle name="Heading 2 3" xfId="1838"/>
    <cellStyle name="Heading 2 4" xfId="1839"/>
    <cellStyle name="Heading 2 5" xfId="1840"/>
    <cellStyle name="Heading 2 6" xfId="1841"/>
    <cellStyle name="Heading 2 7" xfId="1842"/>
    <cellStyle name="Heading 2 8" xfId="1843"/>
    <cellStyle name="Heading 2 9" xfId="1844"/>
    <cellStyle name="Heading 3" xfId="1845"/>
    <cellStyle name="Heading 3 2" xfId="110"/>
    <cellStyle name="Heading 3 3" xfId="1847"/>
    <cellStyle name="Heading 3 4" xfId="1850"/>
    <cellStyle name="Heading 3 5" xfId="1853"/>
    <cellStyle name="Heading 3 6" xfId="1856"/>
    <cellStyle name="Heading 3 7" xfId="1860"/>
    <cellStyle name="Heading 3 8" xfId="1865"/>
    <cellStyle name="Heading 3 9" xfId="1869"/>
    <cellStyle name="Heading 4" xfId="468"/>
    <cellStyle name="Heading 4 2" xfId="1870"/>
    <cellStyle name="Heading 4 3" xfId="1871"/>
    <cellStyle name="Heading 4 4" xfId="1872"/>
    <cellStyle name="Heading 4 5" xfId="1873"/>
    <cellStyle name="Heading 4 6" xfId="1875"/>
    <cellStyle name="Heading 4 7" xfId="1878"/>
    <cellStyle name="Heading 4 8" xfId="1621"/>
    <cellStyle name="Heading 4 9" xfId="1880"/>
    <cellStyle name="HEADING1" xfId="1882"/>
    <cellStyle name="HEADING2" xfId="1884"/>
    <cellStyle name="Input" xfId="1885"/>
    <cellStyle name="Input [yellow]" xfId="1888"/>
    <cellStyle name="Input [yellow] 10" xfId="1891"/>
    <cellStyle name="Input [yellow] 11" xfId="890"/>
    <cellStyle name="Input [yellow] 12" xfId="1892"/>
    <cellStyle name="Input [yellow] 13" xfId="1893"/>
    <cellStyle name="Input [yellow] 14" xfId="1894"/>
    <cellStyle name="Input [yellow] 15" xfId="1895"/>
    <cellStyle name="Input [yellow] 16" xfId="658"/>
    <cellStyle name="Input [yellow] 17" xfId="1898"/>
    <cellStyle name="Input [yellow] 18" xfId="1900"/>
    <cellStyle name="Input [yellow] 19" xfId="1902"/>
    <cellStyle name="Input [yellow] 2" xfId="1906"/>
    <cellStyle name="Input [yellow] 20" xfId="1896"/>
    <cellStyle name="Input [yellow] 21" xfId="659"/>
    <cellStyle name="Input [yellow] 22" xfId="1899"/>
    <cellStyle name="Input [yellow] 23" xfId="1901"/>
    <cellStyle name="Input [yellow] 24" xfId="1903"/>
    <cellStyle name="Input [yellow] 25" xfId="1907"/>
    <cellStyle name="Input [yellow] 26" xfId="1479"/>
    <cellStyle name="Input [yellow] 27" xfId="1482"/>
    <cellStyle name="Input [yellow] 28" xfId="1485"/>
    <cellStyle name="Input [yellow] 29" xfId="1490"/>
    <cellStyle name="Input [yellow] 3" xfId="1911"/>
    <cellStyle name="Input [yellow] 30" xfId="1908"/>
    <cellStyle name="Input [yellow] 31" xfId="1480"/>
    <cellStyle name="Input [yellow] 32" xfId="1483"/>
    <cellStyle name="Input [yellow] 33" xfId="1486"/>
    <cellStyle name="Input [yellow] 34" xfId="1491"/>
    <cellStyle name="Input [yellow] 35" xfId="1495"/>
    <cellStyle name="Input [yellow] 36" xfId="1500"/>
    <cellStyle name="Input [yellow] 37" xfId="1505"/>
    <cellStyle name="Input [yellow] 38" xfId="1510"/>
    <cellStyle name="Input [yellow] 39" xfId="1914"/>
    <cellStyle name="Input [yellow] 4" xfId="1918"/>
    <cellStyle name="Input [yellow] 40" xfId="1496"/>
    <cellStyle name="Input [yellow] 41" xfId="1501"/>
    <cellStyle name="Input [yellow] 42" xfId="1506"/>
    <cellStyle name="Input [yellow] 43" xfId="1511"/>
    <cellStyle name="Input [yellow] 44" xfId="1915"/>
    <cellStyle name="Input [yellow] 45" xfId="1921"/>
    <cellStyle name="Input [yellow] 46" xfId="1227"/>
    <cellStyle name="Input [yellow] 47" xfId="1924"/>
    <cellStyle name="Input [yellow] 48" xfId="1927"/>
    <cellStyle name="Input [yellow] 49" xfId="1929"/>
    <cellStyle name="Input [yellow] 5" xfId="1932"/>
    <cellStyle name="Input [yellow] 50" xfId="1922"/>
    <cellStyle name="Input [yellow] 51" xfId="1228"/>
    <cellStyle name="Input [yellow] 52" xfId="1925"/>
    <cellStyle name="Input [yellow] 6" xfId="1935"/>
    <cellStyle name="Input [yellow] 7" xfId="1938"/>
    <cellStyle name="Input [yellow] 8" xfId="1941"/>
    <cellStyle name="Input [yellow] 9" xfId="1943"/>
    <cellStyle name="Input 2" xfId="1946"/>
    <cellStyle name="Input 3" xfId="1948"/>
    <cellStyle name="Input 4" xfId="1950"/>
    <cellStyle name="Input 5" xfId="1952"/>
    <cellStyle name="Input 6" xfId="896"/>
    <cellStyle name="Input 7" xfId="245"/>
    <cellStyle name="Input 8" xfId="1953"/>
    <cellStyle name="Input 9" xfId="1954"/>
    <cellStyle name="Input Cells" xfId="1955"/>
    <cellStyle name="Linked Cell" xfId="1957"/>
    <cellStyle name="Linked Cell 2" xfId="1959"/>
    <cellStyle name="Linked Cell 3" xfId="1961"/>
    <cellStyle name="Linked Cell 4" xfId="1963"/>
    <cellStyle name="Linked Cell 5" xfId="1965"/>
    <cellStyle name="Linked Cell 6" xfId="1966"/>
    <cellStyle name="Linked Cell 7" xfId="1967"/>
    <cellStyle name="Linked Cell 8" xfId="1968"/>
    <cellStyle name="Linked Cell 9" xfId="1969"/>
    <cellStyle name="Linked Cells" xfId="1970"/>
    <cellStyle name="Millares [0]_96 Risk" xfId="1971"/>
    <cellStyle name="Millares_96 Risk" xfId="1976"/>
    <cellStyle name="Milliers [0]_!!!GO" xfId="1977"/>
    <cellStyle name="Milliers_!!!GO" xfId="1978"/>
    <cellStyle name="Moneda [0]_96 Risk" xfId="1979"/>
    <cellStyle name="Moneda_96 Risk" xfId="1980"/>
    <cellStyle name="Mon閠aire [0]_!!!GO" xfId="864"/>
    <cellStyle name="Mon閠aire_!!!GO" xfId="1791"/>
    <cellStyle name="Neutral" xfId="1981"/>
    <cellStyle name="Neutral 2" xfId="1982"/>
    <cellStyle name="Neutral 3" xfId="1983"/>
    <cellStyle name="Neutral 4" xfId="1984"/>
    <cellStyle name="Neutral 5" xfId="1985"/>
    <cellStyle name="Neutral 6" xfId="1986"/>
    <cellStyle name="Neutral 7" xfId="1987"/>
    <cellStyle name="Neutral 8" xfId="1988"/>
    <cellStyle name="Neutral 9" xfId="1989"/>
    <cellStyle name="New Times Roman" xfId="1991"/>
    <cellStyle name="no dec" xfId="679"/>
    <cellStyle name="no dec 10" xfId="1993"/>
    <cellStyle name="no dec 11" xfId="1995"/>
    <cellStyle name="no dec 12" xfId="1997"/>
    <cellStyle name="no dec 13" xfId="1999"/>
    <cellStyle name="no dec 14" xfId="2001"/>
    <cellStyle name="no dec 15" xfId="2004"/>
    <cellStyle name="no dec 16" xfId="2007"/>
    <cellStyle name="no dec 17" xfId="2010"/>
    <cellStyle name="no dec 18" xfId="2013"/>
    <cellStyle name="no dec 19" xfId="241"/>
    <cellStyle name="no dec 2" xfId="2015"/>
    <cellStyle name="no dec 20" xfId="2005"/>
    <cellStyle name="no dec 21" xfId="2008"/>
    <cellStyle name="no dec 22" xfId="2011"/>
    <cellStyle name="no dec 23" xfId="2014"/>
    <cellStyle name="no dec 24" xfId="242"/>
    <cellStyle name="no dec 25" xfId="2018"/>
    <cellStyle name="no dec 26" xfId="2023"/>
    <cellStyle name="no dec 27" xfId="2028"/>
    <cellStyle name="no dec 28" xfId="2033"/>
    <cellStyle name="no dec 29" xfId="2037"/>
    <cellStyle name="no dec 3" xfId="2039"/>
    <cellStyle name="no dec 30" xfId="2019"/>
    <cellStyle name="no dec 31" xfId="2024"/>
    <cellStyle name="no dec 32" xfId="2029"/>
    <cellStyle name="no dec 33" xfId="2034"/>
    <cellStyle name="no dec 34" xfId="2038"/>
    <cellStyle name="no dec 35" xfId="2042"/>
    <cellStyle name="no dec 36" xfId="2046"/>
    <cellStyle name="no dec 37" xfId="2049"/>
    <cellStyle name="no dec 38" xfId="2052"/>
    <cellStyle name="no dec 39" xfId="2054"/>
    <cellStyle name="no dec 4" xfId="2057"/>
    <cellStyle name="no dec 40" xfId="2043"/>
    <cellStyle name="no dec 41" xfId="2047"/>
    <cellStyle name="no dec 42" xfId="2050"/>
    <cellStyle name="no dec 43" xfId="2053"/>
    <cellStyle name="no dec 44" xfId="2055"/>
    <cellStyle name="no dec 45" xfId="2059"/>
    <cellStyle name="no dec 46" xfId="2061"/>
    <cellStyle name="no dec 47" xfId="2063"/>
    <cellStyle name="no dec 48" xfId="2065"/>
    <cellStyle name="no dec 49" xfId="2066"/>
    <cellStyle name="no dec 5" xfId="2068"/>
    <cellStyle name="no dec 50" xfId="2060"/>
    <cellStyle name="no dec 51" xfId="2062"/>
    <cellStyle name="no dec 52" xfId="2064"/>
    <cellStyle name="no dec 6" xfId="2070"/>
    <cellStyle name="no dec 7" xfId="2073"/>
    <cellStyle name="no dec 8" xfId="2077"/>
    <cellStyle name="no dec 9" xfId="2080"/>
    <cellStyle name="Norma,_laroux_4_营业在建 (2)_E21" xfId="2081"/>
    <cellStyle name="Normal - Style1" xfId="763"/>
    <cellStyle name="Normal_!!!GO" xfId="2083"/>
    <cellStyle name="Normal_3H8" xfId="246"/>
    <cellStyle name="Note" xfId="2085"/>
    <cellStyle name="Note 2" xfId="2088"/>
    <cellStyle name="Note 3" xfId="2090"/>
    <cellStyle name="Note 4" xfId="2092"/>
    <cellStyle name="Note 5" xfId="2094"/>
    <cellStyle name="Note 6" xfId="2096"/>
    <cellStyle name="Note 7" xfId="2097"/>
    <cellStyle name="Note 8" xfId="2098"/>
    <cellStyle name="Note 9" xfId="2099"/>
    <cellStyle name="Output" xfId="2101"/>
    <cellStyle name="Output 2" xfId="2103"/>
    <cellStyle name="Output 3" xfId="2104"/>
    <cellStyle name="Output 4" xfId="2105"/>
    <cellStyle name="Output 5" xfId="2106"/>
    <cellStyle name="Output 6" xfId="2109"/>
    <cellStyle name="Output 7" xfId="2111"/>
    <cellStyle name="Output 8" xfId="2114"/>
    <cellStyle name="Output 9" xfId="2116"/>
    <cellStyle name="per.style" xfId="989"/>
    <cellStyle name="Percent [2]" xfId="2119"/>
    <cellStyle name="Percent_!!!GO" xfId="2120"/>
    <cellStyle name="Pourcentage_pldt" xfId="2086"/>
    <cellStyle name="PSChar" xfId="2122"/>
    <cellStyle name="PSDate" xfId="2126"/>
    <cellStyle name="PSDec" xfId="265"/>
    <cellStyle name="PSHeading" xfId="2127"/>
    <cellStyle name="PSHeading 10" xfId="2129"/>
    <cellStyle name="PSHeading 11" xfId="2130"/>
    <cellStyle name="PSHeading 12" xfId="2133"/>
    <cellStyle name="PSHeading 13" xfId="1350"/>
    <cellStyle name="PSHeading 14" xfId="1352"/>
    <cellStyle name="PSHeading 15" xfId="1354"/>
    <cellStyle name="PSHeading 16" xfId="1357"/>
    <cellStyle name="PSHeading 17" xfId="1360"/>
    <cellStyle name="PSHeading 18" xfId="1363"/>
    <cellStyle name="PSHeading 19" xfId="1366"/>
    <cellStyle name="PSHeading 2" xfId="2134"/>
    <cellStyle name="PSHeading 20" xfId="1355"/>
    <cellStyle name="PSHeading 21" xfId="1358"/>
    <cellStyle name="PSHeading 22" xfId="1361"/>
    <cellStyle name="PSHeading 23" xfId="1364"/>
    <cellStyle name="PSHeading 24" xfId="1367"/>
    <cellStyle name="PSHeading 25" xfId="1369"/>
    <cellStyle name="PSHeading 26" xfId="2135"/>
    <cellStyle name="PSHeading 27" xfId="2137"/>
    <cellStyle name="PSHeading 28" xfId="2140"/>
    <cellStyle name="PSHeading 29" xfId="2143"/>
    <cellStyle name="PSHeading 3" xfId="2146"/>
    <cellStyle name="PSHeading 30" xfId="1370"/>
    <cellStyle name="PSHeading 31" xfId="2136"/>
    <cellStyle name="PSHeading 32" xfId="2138"/>
    <cellStyle name="PSHeading 33" xfId="2141"/>
    <cellStyle name="PSHeading 34" xfId="2144"/>
    <cellStyle name="PSHeading 35" xfId="2148"/>
    <cellStyle name="PSHeading 36" xfId="2151"/>
    <cellStyle name="PSHeading 37" xfId="2154"/>
    <cellStyle name="PSHeading 38" xfId="2158"/>
    <cellStyle name="PSHeading 39" xfId="2162"/>
    <cellStyle name="PSHeading 4" xfId="2166"/>
    <cellStyle name="PSHeading 40" xfId="2149"/>
    <cellStyle name="PSHeading 41" xfId="2152"/>
    <cellStyle name="PSHeading 42" xfId="2155"/>
    <cellStyle name="PSHeading 43" xfId="2159"/>
    <cellStyle name="PSHeading 44" xfId="2163"/>
    <cellStyle name="PSHeading 45" xfId="2169"/>
    <cellStyle name="PSHeading 46" xfId="2172"/>
    <cellStyle name="PSHeading 47" xfId="2175"/>
    <cellStyle name="PSHeading 48" xfId="2178"/>
    <cellStyle name="PSHeading 49" xfId="2180"/>
    <cellStyle name="PSHeading 5" xfId="2182"/>
    <cellStyle name="PSHeading 50" xfId="2170"/>
    <cellStyle name="PSHeading 51" xfId="2173"/>
    <cellStyle name="PSHeading 52" xfId="2176"/>
    <cellStyle name="PSHeading 6" xfId="2184"/>
    <cellStyle name="PSHeading 7" xfId="2186"/>
    <cellStyle name="PSHeading 8" xfId="1392"/>
    <cellStyle name="PSHeading 9" xfId="1396"/>
    <cellStyle name="PSInt" xfId="2188"/>
    <cellStyle name="PSSpacer" xfId="1468"/>
    <cellStyle name="RowLevel_0" xfId="2191"/>
    <cellStyle name="sstot" xfId="2192"/>
    <cellStyle name="sstot 10" xfId="2193"/>
    <cellStyle name="sstot 11" xfId="2194"/>
    <cellStyle name="sstot 12" xfId="2195"/>
    <cellStyle name="sstot 13" xfId="108"/>
    <cellStyle name="sstot 14" xfId="1846"/>
    <cellStyle name="sstot 15" xfId="1848"/>
    <cellStyle name="sstot 16" xfId="1851"/>
    <cellStyle name="sstot 17" xfId="1854"/>
    <cellStyle name="sstot 18" xfId="1857"/>
    <cellStyle name="sstot 19" xfId="1862"/>
    <cellStyle name="sstot 2" xfId="1571"/>
    <cellStyle name="sstot 20" xfId="1849"/>
    <cellStyle name="sstot 21" xfId="1852"/>
    <cellStyle name="sstot 22" xfId="1855"/>
    <cellStyle name="sstot 23" xfId="1858"/>
    <cellStyle name="sstot 24" xfId="1863"/>
    <cellStyle name="sstot 25" xfId="1866"/>
    <cellStyle name="sstot 26" xfId="2196"/>
    <cellStyle name="sstot 27" xfId="2199"/>
    <cellStyle name="sstot 28" xfId="2202"/>
    <cellStyle name="sstot 29" xfId="2205"/>
    <cellStyle name="sstot 3" xfId="2207"/>
    <cellStyle name="sstot 30" xfId="1867"/>
    <cellStyle name="sstot 31" xfId="2197"/>
    <cellStyle name="sstot 32" xfId="2200"/>
    <cellStyle name="sstot 33" xfId="2203"/>
    <cellStyle name="sstot 34" xfId="2206"/>
    <cellStyle name="sstot 35" xfId="2208"/>
    <cellStyle name="sstot 36" xfId="2210"/>
    <cellStyle name="sstot 37" xfId="2212"/>
    <cellStyle name="sstot 38" xfId="2214"/>
    <cellStyle name="sstot 39" xfId="2216"/>
    <cellStyle name="sstot 4" xfId="2218"/>
    <cellStyle name="sstot 40" xfId="2209"/>
    <cellStyle name="sstot 41" xfId="2211"/>
    <cellStyle name="sstot 42" xfId="2213"/>
    <cellStyle name="sstot 43" xfId="2215"/>
    <cellStyle name="sstot 44" xfId="2217"/>
    <cellStyle name="sstot 45" xfId="2219"/>
    <cellStyle name="sstot 46" xfId="2221"/>
    <cellStyle name="sstot 47" xfId="2223"/>
    <cellStyle name="sstot 48" xfId="2225"/>
    <cellStyle name="sstot 49" xfId="1438"/>
    <cellStyle name="sstot 5" xfId="2226"/>
    <cellStyle name="sstot 50" xfId="2220"/>
    <cellStyle name="sstot 51" xfId="2222"/>
    <cellStyle name="sstot 52" xfId="2224"/>
    <cellStyle name="sstot 6" xfId="2227"/>
    <cellStyle name="sstot 7" xfId="2228"/>
    <cellStyle name="sstot 8" xfId="2229"/>
    <cellStyle name="sstot 9" xfId="2230"/>
    <cellStyle name="Standard_AREAS" xfId="2237"/>
    <cellStyle name="t" xfId="2240"/>
    <cellStyle name="t 10" xfId="2125"/>
    <cellStyle name="t 11" xfId="2243"/>
    <cellStyle name="t 12" xfId="2246"/>
    <cellStyle name="t 13" xfId="2248"/>
    <cellStyle name="t 14" xfId="2249"/>
    <cellStyle name="t 15" xfId="2250"/>
    <cellStyle name="t 16" xfId="2252"/>
    <cellStyle name="t 17" xfId="2254"/>
    <cellStyle name="t 18" xfId="2256"/>
    <cellStyle name="t 19" xfId="2258"/>
    <cellStyle name="t 2" xfId="2260"/>
    <cellStyle name="t 20" xfId="2251"/>
    <cellStyle name="t 21" xfId="2253"/>
    <cellStyle name="t 22" xfId="2255"/>
    <cellStyle name="t 23" xfId="2257"/>
    <cellStyle name="t 24" xfId="2259"/>
    <cellStyle name="t 25" xfId="2261"/>
    <cellStyle name="t 26" xfId="2263"/>
    <cellStyle name="t 27" xfId="2267"/>
    <cellStyle name="t 28" xfId="1689"/>
    <cellStyle name="t 29" xfId="2271"/>
    <cellStyle name="t 3" xfId="2273"/>
    <cellStyle name="t 30" xfId="2262"/>
    <cellStyle name="t 31" xfId="2264"/>
    <cellStyle name="t 32" xfId="2268"/>
    <cellStyle name="t 33" xfId="1690"/>
    <cellStyle name="t 34" xfId="2272"/>
    <cellStyle name="t 35" xfId="2276"/>
    <cellStyle name="t 36" xfId="2280"/>
    <cellStyle name="t 37" xfId="2285"/>
    <cellStyle name="t 38" xfId="2290"/>
    <cellStyle name="t 39" xfId="2235"/>
    <cellStyle name="t 4" xfId="2292"/>
    <cellStyle name="t 40" xfId="2277"/>
    <cellStyle name="t 41" xfId="2281"/>
    <cellStyle name="t 42" xfId="2286"/>
    <cellStyle name="t 43" xfId="2291"/>
    <cellStyle name="t 44" xfId="2236"/>
    <cellStyle name="t 45" xfId="2297"/>
    <cellStyle name="t 46" xfId="2303"/>
    <cellStyle name="t 47" xfId="2310"/>
    <cellStyle name="t 48" xfId="2316"/>
    <cellStyle name="t 49" xfId="2321"/>
    <cellStyle name="t 5" xfId="2322"/>
    <cellStyle name="t 50" xfId="2298"/>
    <cellStyle name="t 51" xfId="2304"/>
    <cellStyle name="t 52" xfId="2311"/>
    <cellStyle name="t 6" xfId="2323"/>
    <cellStyle name="t 7" xfId="2324"/>
    <cellStyle name="t 8" xfId="2325"/>
    <cellStyle name="t 9" xfId="2326"/>
    <cellStyle name="t_HVAC Equipment (3)" xfId="2327"/>
    <cellStyle name="t_HVAC Equipment (3) 10" xfId="1226"/>
    <cellStyle name="t_HVAC Equipment (3) 11" xfId="1923"/>
    <cellStyle name="t_HVAC Equipment (3) 12" xfId="1926"/>
    <cellStyle name="t_HVAC Equipment (3) 13" xfId="1928"/>
    <cellStyle name="t_HVAC Equipment (3) 14" xfId="2329"/>
    <cellStyle name="t_HVAC Equipment (3) 15" xfId="893"/>
    <cellStyle name="t_HVAC Equipment (3) 16" xfId="2330"/>
    <cellStyle name="t_HVAC Equipment (3) 17" xfId="2332"/>
    <cellStyle name="t_HVAC Equipment (3) 18" xfId="2334"/>
    <cellStyle name="t_HVAC Equipment (3) 19" xfId="2336"/>
    <cellStyle name="t_HVAC Equipment (3) 2" xfId="2338"/>
    <cellStyle name="t_HVAC Equipment (3) 20" xfId="894"/>
    <cellStyle name="t_HVAC Equipment (3) 21" xfId="2331"/>
    <cellStyle name="t_HVAC Equipment (3) 22" xfId="2333"/>
    <cellStyle name="t_HVAC Equipment (3) 23" xfId="2335"/>
    <cellStyle name="t_HVAC Equipment (3) 24" xfId="2337"/>
    <cellStyle name="t_HVAC Equipment (3) 25" xfId="663"/>
    <cellStyle name="t_HVAC Equipment (3) 26" xfId="2339"/>
    <cellStyle name="t_HVAC Equipment (3) 27" xfId="2341"/>
    <cellStyle name="t_HVAC Equipment (3) 28" xfId="2343"/>
    <cellStyle name="t_HVAC Equipment (3) 29" xfId="2345"/>
    <cellStyle name="t_HVAC Equipment (3) 3" xfId="2347"/>
    <cellStyle name="t_HVAC Equipment (3) 30" xfId="664"/>
    <cellStyle name="t_HVAC Equipment (3) 31" xfId="2340"/>
    <cellStyle name="t_HVAC Equipment (3) 32" xfId="2342"/>
    <cellStyle name="t_HVAC Equipment (3) 33" xfId="2344"/>
    <cellStyle name="t_HVAC Equipment (3) 34" xfId="2346"/>
    <cellStyle name="t_HVAC Equipment (3) 35" xfId="1537"/>
    <cellStyle name="t_HVAC Equipment (3) 36" xfId="1540"/>
    <cellStyle name="t_HVAC Equipment (3) 37" xfId="1543"/>
    <cellStyle name="t_HVAC Equipment (3) 38" xfId="1548"/>
    <cellStyle name="t_HVAC Equipment (3) 39" xfId="1553"/>
    <cellStyle name="t_HVAC Equipment (3) 4" xfId="2348"/>
    <cellStyle name="t_HVAC Equipment (3) 40" xfId="1538"/>
    <cellStyle name="t_HVAC Equipment (3) 41" xfId="1541"/>
    <cellStyle name="t_HVAC Equipment (3) 42" xfId="1544"/>
    <cellStyle name="t_HVAC Equipment (3) 43" xfId="1549"/>
    <cellStyle name="t_HVAC Equipment (3) 44" xfId="1554"/>
    <cellStyle name="t_HVAC Equipment (3) 45" xfId="1558"/>
    <cellStyle name="t_HVAC Equipment (3) 46" xfId="1563"/>
    <cellStyle name="t_HVAC Equipment (3) 47" xfId="1568"/>
    <cellStyle name="t_HVAC Equipment (3) 48" xfId="2351"/>
    <cellStyle name="t_HVAC Equipment (3) 49" xfId="2354"/>
    <cellStyle name="t_HVAC Equipment (3) 5" xfId="2355"/>
    <cellStyle name="t_HVAC Equipment (3) 50" xfId="1559"/>
    <cellStyle name="t_HVAC Equipment (3) 51" xfId="1564"/>
    <cellStyle name="t_HVAC Equipment (3) 52" xfId="1569"/>
    <cellStyle name="t_HVAC Equipment (3) 6" xfId="2356"/>
    <cellStyle name="t_HVAC Equipment (3) 7" xfId="1465"/>
    <cellStyle name="t_HVAC Equipment (3) 8" xfId="1467"/>
    <cellStyle name="t_HVAC Equipment (3) 9" xfId="1470"/>
    <cellStyle name="Title" xfId="2358"/>
    <cellStyle name="Title 2" xfId="2359"/>
    <cellStyle name="Title 3" xfId="2361"/>
    <cellStyle name="Title 4" xfId="2362"/>
    <cellStyle name="Title 5" xfId="2363"/>
    <cellStyle name="Title 6" xfId="2364"/>
    <cellStyle name="Title 7" xfId="2366"/>
    <cellStyle name="Title 8" xfId="2369"/>
    <cellStyle name="Title 9" xfId="2373"/>
    <cellStyle name="Total" xfId="2375"/>
    <cellStyle name="Total 10" xfId="2376"/>
    <cellStyle name="Total 11" xfId="2377"/>
    <cellStyle name="Total 12" xfId="2378"/>
    <cellStyle name="Total 13" xfId="2379"/>
    <cellStyle name="Total 14" xfId="1990"/>
    <cellStyle name="Total 15" xfId="2380"/>
    <cellStyle name="Total 16" xfId="2382"/>
    <cellStyle name="Total 17" xfId="2384"/>
    <cellStyle name="Total 18" xfId="2386"/>
    <cellStyle name="Total 19" xfId="2388"/>
    <cellStyle name="Total 2" xfId="2391"/>
    <cellStyle name="Total 20" xfId="2381"/>
    <cellStyle name="Total 21" xfId="2383"/>
    <cellStyle name="Total 22" xfId="2385"/>
    <cellStyle name="Total 23" xfId="2387"/>
    <cellStyle name="Total 24" xfId="2389"/>
    <cellStyle name="Total 25" xfId="2392"/>
    <cellStyle name="Total 26" xfId="2394"/>
    <cellStyle name="Total 27" xfId="2396"/>
    <cellStyle name="Total 28" xfId="2398"/>
    <cellStyle name="Total 29" xfId="2400"/>
    <cellStyle name="Total 3" xfId="2403"/>
    <cellStyle name="Total 30" xfId="2393"/>
    <cellStyle name="Total 31" xfId="2395"/>
    <cellStyle name="Total 32" xfId="2397"/>
    <cellStyle name="Total 33" xfId="2399"/>
    <cellStyle name="Total 34" xfId="2401"/>
    <cellStyle name="Total 35" xfId="2404"/>
    <cellStyle name="Total 36" xfId="2406"/>
    <cellStyle name="Total 37" xfId="2408"/>
    <cellStyle name="Total 38" xfId="2410"/>
    <cellStyle name="Total 39" xfId="2412"/>
    <cellStyle name="Total 4" xfId="2416"/>
    <cellStyle name="Total 40" xfId="2405"/>
    <cellStyle name="Total 41" xfId="2407"/>
    <cellStyle name="Total 42" xfId="2409"/>
    <cellStyle name="Total 43" xfId="2411"/>
    <cellStyle name="Total 44" xfId="2413"/>
    <cellStyle name="Total 45" xfId="2418"/>
    <cellStyle name="Total 46" xfId="2420"/>
    <cellStyle name="Total 47" xfId="1172"/>
    <cellStyle name="Total 48" xfId="660"/>
    <cellStyle name="Total 49" xfId="625"/>
    <cellStyle name="Total 5" xfId="2424"/>
    <cellStyle name="Total 50" xfId="2419"/>
    <cellStyle name="Total 51" xfId="2421"/>
    <cellStyle name="Total 52" xfId="1173"/>
    <cellStyle name="Total 6" xfId="2427"/>
    <cellStyle name="Total 7" xfId="2430"/>
    <cellStyle name="Total 8" xfId="2433"/>
    <cellStyle name="Total 9" xfId="2435"/>
    <cellStyle name="Warning Text" xfId="2436"/>
    <cellStyle name="Warning Text 2" xfId="2442"/>
    <cellStyle name="Warning Text 3" xfId="2448"/>
    <cellStyle name="Warning Text 4" xfId="2453"/>
    <cellStyle name="Warning Text 5" xfId="2454"/>
    <cellStyle name="Warning Text 6" xfId="2463"/>
    <cellStyle name="Warning Text 7" xfId="2467"/>
    <cellStyle name="Warning Text 8" xfId="2471"/>
    <cellStyle name="Warning Text 9" xfId="2474"/>
    <cellStyle name="百分比" xfId="22" builtinId="5"/>
    <cellStyle name="百分比 10" xfId="2477"/>
    <cellStyle name="百分比 10 2" xfId="2478"/>
    <cellStyle name="百分比 2" xfId="2479"/>
    <cellStyle name="百分比 2 2" xfId="2480"/>
    <cellStyle name="百分比 2 3" xfId="2481"/>
    <cellStyle name="百分比 2 4" xfId="2482"/>
    <cellStyle name="百分比 2 5" xfId="2483"/>
    <cellStyle name="百分比 2 6" xfId="2484"/>
    <cellStyle name="百分比 2 7" xfId="2486"/>
    <cellStyle name="百分比 2 8" xfId="2487"/>
    <cellStyle name="百分比 2 9" xfId="2488"/>
    <cellStyle name="百分比 3" xfId="2489"/>
    <cellStyle name="百分比 3 2" xfId="2490"/>
    <cellStyle name="百分比 3 3" xfId="2491"/>
    <cellStyle name="百分比 3 4" xfId="2492"/>
    <cellStyle name="百分比 3 5" xfId="2493"/>
    <cellStyle name="百分比 3 6" xfId="2494"/>
    <cellStyle name="百分比 3 7" xfId="2495"/>
    <cellStyle name="百分比 3 8" xfId="2496"/>
    <cellStyle name="百分比 3 9" xfId="2498"/>
    <cellStyle name="百分比 4" xfId="2499"/>
    <cellStyle name="百分比 4 2" xfId="2501"/>
    <cellStyle name="百分比 4 3" xfId="2503"/>
    <cellStyle name="百分比 4 4" xfId="2505"/>
    <cellStyle name="百分比 4 5" xfId="2507"/>
    <cellStyle name="百分比 4 6" xfId="2508"/>
    <cellStyle name="百分比 4 7" xfId="2510"/>
    <cellStyle name="百分比 4 8" xfId="2512"/>
    <cellStyle name="百分比 4 9" xfId="2515"/>
    <cellStyle name="百分比 5" xfId="2516"/>
    <cellStyle name="百分比 5 2" xfId="2518"/>
    <cellStyle name="百分比 6" xfId="2519"/>
    <cellStyle name="百分比 6 2" xfId="2521"/>
    <cellStyle name="百分比 7" xfId="2522"/>
    <cellStyle name="百分比 7 2" xfId="2524"/>
    <cellStyle name="百分比 8" xfId="2525"/>
    <cellStyle name="百分比 8 2" xfId="2527"/>
    <cellStyle name="百分比 9" xfId="2528"/>
    <cellStyle name="百分比 9 2" xfId="2032"/>
    <cellStyle name="捠壿 [0.00]_Region Orders (2)" xfId="1463"/>
    <cellStyle name="捠壿_Region Orders (2)" xfId="2529"/>
    <cellStyle name="编号" xfId="2530"/>
    <cellStyle name="编号 10" xfId="2531"/>
    <cellStyle name="编号 11" xfId="2532"/>
    <cellStyle name="编号 12" xfId="2533"/>
    <cellStyle name="编号 13" xfId="2534"/>
    <cellStyle name="编号 14" xfId="2536"/>
    <cellStyle name="编号 15" xfId="2537"/>
    <cellStyle name="编号 16" xfId="2539"/>
    <cellStyle name="编号 17" xfId="2541"/>
    <cellStyle name="编号 18" xfId="2543"/>
    <cellStyle name="编号 19" xfId="2545"/>
    <cellStyle name="编号 2" xfId="2547"/>
    <cellStyle name="编号 20" xfId="2538"/>
    <cellStyle name="编号 21" xfId="2540"/>
    <cellStyle name="编号 22" xfId="2542"/>
    <cellStyle name="编号 23" xfId="2544"/>
    <cellStyle name="编号 24" xfId="2546"/>
    <cellStyle name="编号 25" xfId="2548"/>
    <cellStyle name="编号 26" xfId="2550"/>
    <cellStyle name="编号 27" xfId="2552"/>
    <cellStyle name="编号 28" xfId="2554"/>
    <cellStyle name="编号 29" xfId="2557"/>
    <cellStyle name="编号 3" xfId="2559"/>
    <cellStyle name="编号 30" xfId="2549"/>
    <cellStyle name="编号 31" xfId="2551"/>
    <cellStyle name="编号 32" xfId="2553"/>
    <cellStyle name="编号 33" xfId="2555"/>
    <cellStyle name="编号 34" xfId="2558"/>
    <cellStyle name="编号 35" xfId="2562"/>
    <cellStyle name="编号 36" xfId="2565"/>
    <cellStyle name="编号 37" xfId="2569"/>
    <cellStyle name="编号 38" xfId="2572"/>
    <cellStyle name="编号 39" xfId="2575"/>
    <cellStyle name="编号 4" xfId="2577"/>
    <cellStyle name="编号 40" xfId="2563"/>
    <cellStyle name="编号 41" xfId="2566"/>
    <cellStyle name="编号 42" xfId="2570"/>
    <cellStyle name="编号 43" xfId="2573"/>
    <cellStyle name="编号 44" xfId="2576"/>
    <cellStyle name="编号 45" xfId="2579"/>
    <cellStyle name="编号 46" xfId="2583"/>
    <cellStyle name="编号 47" xfId="2586"/>
    <cellStyle name="编号 48" xfId="2588"/>
    <cellStyle name="编号 49" xfId="1051"/>
    <cellStyle name="编号 5" xfId="2589"/>
    <cellStyle name="编号 50" xfId="2580"/>
    <cellStyle name="编号 51" xfId="2584"/>
    <cellStyle name="编号 52" xfId="2587"/>
    <cellStyle name="编号 6" xfId="2590"/>
    <cellStyle name="编号 7" xfId="2591"/>
    <cellStyle name="编号 8" xfId="2593"/>
    <cellStyle name="编号 9" xfId="2595"/>
    <cellStyle name="标题 1 10" xfId="2596"/>
    <cellStyle name="标题 1 2" xfId="2597"/>
    <cellStyle name="标题 1 3" xfId="836"/>
    <cellStyle name="标题 1 3 2" xfId="2598"/>
    <cellStyle name="标题 1 3 3" xfId="2599"/>
    <cellStyle name="标题 1 3 4" xfId="2600"/>
    <cellStyle name="标题 1 3 5" xfId="2601"/>
    <cellStyle name="标题 1 3 6" xfId="2602"/>
    <cellStyle name="标题 1 3 7" xfId="2603"/>
    <cellStyle name="标题 1 4" xfId="2604"/>
    <cellStyle name="标题 1 4 2" xfId="2605"/>
    <cellStyle name="标题 1 5" xfId="2606"/>
    <cellStyle name="标题 1 5 2" xfId="40"/>
    <cellStyle name="标题 1 6" xfId="2607"/>
    <cellStyle name="标题 1 6 2" xfId="2610"/>
    <cellStyle name="标题 1 7" xfId="2611"/>
    <cellStyle name="标题 1 7 2" xfId="2613"/>
    <cellStyle name="标题 1 8" xfId="609"/>
    <cellStyle name="标题 1 8 2" xfId="2614"/>
    <cellStyle name="标题 1 9" xfId="2616"/>
    <cellStyle name="标题 1 9 2" xfId="2617"/>
    <cellStyle name="标题 10" xfId="2619"/>
    <cellStyle name="标题 10 2" xfId="1437"/>
    <cellStyle name="标题 11" xfId="2622"/>
    <cellStyle name="标题 11 2" xfId="2108"/>
    <cellStyle name="标题 12" xfId="2623"/>
    <cellStyle name="标题 12 2" xfId="1446"/>
    <cellStyle name="标题 13" xfId="2624"/>
    <cellStyle name="标题 2 10" xfId="2625"/>
    <cellStyle name="标题 2 2" xfId="2626"/>
    <cellStyle name="标题 2 3" xfId="841"/>
    <cellStyle name="标题 2 3 2" xfId="2629"/>
    <cellStyle name="标题 2 3 3" xfId="2632"/>
    <cellStyle name="标题 2 3 4" xfId="2635"/>
    <cellStyle name="标题 2 3 5" xfId="2638"/>
    <cellStyle name="标题 2 3 6" xfId="2641"/>
    <cellStyle name="标题 2 3 7" xfId="2644"/>
    <cellStyle name="标题 2 4" xfId="2647"/>
    <cellStyle name="标题 2 4 2" xfId="2648"/>
    <cellStyle name="标题 2 5" xfId="2651"/>
    <cellStyle name="标题 2 5 2" xfId="2652"/>
    <cellStyle name="标题 2 6" xfId="2655"/>
    <cellStyle name="标题 2 6 2" xfId="2656"/>
    <cellStyle name="标题 2 7" xfId="2659"/>
    <cellStyle name="标题 2 7 2" xfId="2661"/>
    <cellStyle name="标题 2 8" xfId="401"/>
    <cellStyle name="标题 2 8 2" xfId="2663"/>
    <cellStyle name="标题 2 9" xfId="2666"/>
    <cellStyle name="标题 2 9 2" xfId="2667"/>
    <cellStyle name="标题 3 10" xfId="1830"/>
    <cellStyle name="标题 3 2" xfId="2670"/>
    <cellStyle name="标题 3 3" xfId="2674"/>
    <cellStyle name="标题 3 3 2" xfId="2676"/>
    <cellStyle name="标题 3 3 3" xfId="2677"/>
    <cellStyle name="标题 3 3 4" xfId="2678"/>
    <cellStyle name="标题 3 3 5" xfId="2679"/>
    <cellStyle name="标题 3 3 6" xfId="2190"/>
    <cellStyle name="标题 3 3 7" xfId="2680"/>
    <cellStyle name="标题 3 4" xfId="2685"/>
    <cellStyle name="标题 3 4 2" xfId="2686"/>
    <cellStyle name="标题 3 5" xfId="2690"/>
    <cellStyle name="标题 3 5 2" xfId="2691"/>
    <cellStyle name="标题 3 6" xfId="2695"/>
    <cellStyle name="标题 3 6 2" xfId="2696"/>
    <cellStyle name="标题 3 7" xfId="2700"/>
    <cellStyle name="标题 3 7 2" xfId="2701"/>
    <cellStyle name="标题 3 8" xfId="2705"/>
    <cellStyle name="标题 3 8 2" xfId="2706"/>
    <cellStyle name="标题 3 9" xfId="2710"/>
    <cellStyle name="标题 3 9 2" xfId="2712"/>
    <cellStyle name="标题 4 10" xfId="2713"/>
    <cellStyle name="标题 4 2" xfId="2715"/>
    <cellStyle name="标题 4 3" xfId="2717"/>
    <cellStyle name="标题 4 3 2" xfId="2719"/>
    <cellStyle name="标题 4 3 3" xfId="1432"/>
    <cellStyle name="标题 4 3 4" xfId="2721"/>
    <cellStyle name="标题 4 3 5" xfId="2723"/>
    <cellStyle name="标题 4 3 6" xfId="2725"/>
    <cellStyle name="标题 4 3 7" xfId="2727"/>
    <cellStyle name="标题 4 4" xfId="2728"/>
    <cellStyle name="标题 4 4 2" xfId="2730"/>
    <cellStyle name="标题 4 5" xfId="2731"/>
    <cellStyle name="标题 4 5 2" xfId="2732"/>
    <cellStyle name="标题 4 6" xfId="2733"/>
    <cellStyle name="标题 4 6 2" xfId="2734"/>
    <cellStyle name="标题 4 7" xfId="2735"/>
    <cellStyle name="标题 4 7 2" xfId="2736"/>
    <cellStyle name="标题 4 8" xfId="2737"/>
    <cellStyle name="标题 4 8 2" xfId="2739"/>
    <cellStyle name="标题 4 9" xfId="2740"/>
    <cellStyle name="标题 4 9 2" xfId="2742"/>
    <cellStyle name="标题 5" xfId="2744"/>
    <cellStyle name="标题 5 2" xfId="2745"/>
    <cellStyle name="标题 5 3" xfId="2746"/>
    <cellStyle name="标题 5 4" xfId="2747"/>
    <cellStyle name="标题 5 5" xfId="2748"/>
    <cellStyle name="标题 5 6" xfId="1945"/>
    <cellStyle name="标题 5 7" xfId="1947"/>
    <cellStyle name="标题 5 8" xfId="1949"/>
    <cellStyle name="标题 5 9" xfId="1951"/>
    <cellStyle name="标题 6" xfId="2749"/>
    <cellStyle name="标题 6 2" xfId="2750"/>
    <cellStyle name="标题 6 3" xfId="2751"/>
    <cellStyle name="标题 6 4" xfId="2752"/>
    <cellStyle name="标题 6 5" xfId="2753"/>
    <cellStyle name="标题 6 6" xfId="2754"/>
    <cellStyle name="标题 6 7" xfId="2755"/>
    <cellStyle name="标题 7" xfId="2756"/>
    <cellStyle name="标题 7 2" xfId="2757"/>
    <cellStyle name="标题 8" xfId="2758"/>
    <cellStyle name="标题 8 2" xfId="2760"/>
    <cellStyle name="标题 9" xfId="2761"/>
    <cellStyle name="标题 9 2" xfId="2764"/>
    <cellStyle name="标题1" xfId="2767"/>
    <cellStyle name="标题1 10" xfId="2768"/>
    <cellStyle name="标题1 11" xfId="2769"/>
    <cellStyle name="标题1 12" xfId="2771"/>
    <cellStyle name="标题1 13" xfId="2773"/>
    <cellStyle name="标题1 14" xfId="2776"/>
    <cellStyle name="标题1 15" xfId="2778"/>
    <cellStyle name="标题1 16" xfId="2781"/>
    <cellStyle name="标题1 17" xfId="1974"/>
    <cellStyle name="标题1 18" xfId="2785"/>
    <cellStyle name="标题1 19" xfId="85"/>
    <cellStyle name="标题1 2" xfId="1244"/>
    <cellStyle name="标题1 20" xfId="2779"/>
    <cellStyle name="标题1 21" xfId="2782"/>
    <cellStyle name="标题1 22" xfId="1975"/>
    <cellStyle name="标题1 23" xfId="2786"/>
    <cellStyle name="标题1 24" xfId="86"/>
    <cellStyle name="标题1 25" xfId="68"/>
    <cellStyle name="标题1 26" xfId="94"/>
    <cellStyle name="标题1 27" xfId="97"/>
    <cellStyle name="标题1 28" xfId="100"/>
    <cellStyle name="标题1 29" xfId="104"/>
    <cellStyle name="标题1 3" xfId="1248"/>
    <cellStyle name="标题1 30" xfId="69"/>
    <cellStyle name="标题1 31" xfId="95"/>
    <cellStyle name="标题1 32" xfId="98"/>
    <cellStyle name="标题1 33" xfId="101"/>
    <cellStyle name="标题1 34" xfId="105"/>
    <cellStyle name="标题1 35" xfId="2787"/>
    <cellStyle name="标题1 36" xfId="2789"/>
    <cellStyle name="标题1 37" xfId="2791"/>
    <cellStyle name="标题1 38" xfId="882"/>
    <cellStyle name="标题1 39" xfId="2793"/>
    <cellStyle name="标题1 4" xfId="1252"/>
    <cellStyle name="标题1 40" xfId="2788"/>
    <cellStyle name="标题1 41" xfId="2790"/>
    <cellStyle name="标题1 42" xfId="2792"/>
    <cellStyle name="标题1 43" xfId="883"/>
    <cellStyle name="标题1 44" xfId="2794"/>
    <cellStyle name="标题1 45" xfId="2795"/>
    <cellStyle name="标题1 46" xfId="2797"/>
    <cellStyle name="标题1 47" xfId="2799"/>
    <cellStyle name="标题1 48" xfId="651"/>
    <cellStyle name="标题1 49" xfId="2801"/>
    <cellStyle name="标题1 5" xfId="1256"/>
    <cellStyle name="标题1 50" xfId="2796"/>
    <cellStyle name="标题1 51" xfId="2798"/>
    <cellStyle name="标题1 52" xfId="2800"/>
    <cellStyle name="标题1 6" xfId="1260"/>
    <cellStyle name="标题1 7" xfId="2803"/>
    <cellStyle name="标题1 8" xfId="2805"/>
    <cellStyle name="标题1 9" xfId="2807"/>
    <cellStyle name="表标题" xfId="2808"/>
    <cellStyle name="表标题 2" xfId="2810"/>
    <cellStyle name="表标题 3" xfId="2390"/>
    <cellStyle name="表标题 4" xfId="2402"/>
    <cellStyle name="表标题 5" xfId="2415"/>
    <cellStyle name="表标题 6" xfId="2423"/>
    <cellStyle name="表标题 7" xfId="2426"/>
    <cellStyle name="表标题 8" xfId="2429"/>
    <cellStyle name="表标题 9" xfId="2432"/>
    <cellStyle name="部门" xfId="2811"/>
    <cellStyle name="部门 10" xfId="2265"/>
    <cellStyle name="部门 11" xfId="1687"/>
    <cellStyle name="部门 12" xfId="2270"/>
    <cellStyle name="部门 13" xfId="2275"/>
    <cellStyle name="部门 14" xfId="2279"/>
    <cellStyle name="部门 15" xfId="2283"/>
    <cellStyle name="部门 16" xfId="2288"/>
    <cellStyle name="部门 17" xfId="2233"/>
    <cellStyle name="部门 18" xfId="2295"/>
    <cellStyle name="部门 19" xfId="2301"/>
    <cellStyle name="部门 2" xfId="2812"/>
    <cellStyle name="部门 20" xfId="2284"/>
    <cellStyle name="部门 21" xfId="2289"/>
    <cellStyle name="部门 22" xfId="2234"/>
    <cellStyle name="部门 23" xfId="2296"/>
    <cellStyle name="部门 24" xfId="2302"/>
    <cellStyle name="部门 25" xfId="2308"/>
    <cellStyle name="部门 26" xfId="2314"/>
    <cellStyle name="部门 27" xfId="2319"/>
    <cellStyle name="部门 28" xfId="2815"/>
    <cellStyle name="部门 29" xfId="2820"/>
    <cellStyle name="部门 3" xfId="2822"/>
    <cellStyle name="部门 30" xfId="2309"/>
    <cellStyle name="部门 31" xfId="2315"/>
    <cellStyle name="部门 32" xfId="2320"/>
    <cellStyle name="部门 33" xfId="2816"/>
    <cellStyle name="部门 34" xfId="2821"/>
    <cellStyle name="部门 35" xfId="2826"/>
    <cellStyle name="部门 36" xfId="2832"/>
    <cellStyle name="部门 37" xfId="2837"/>
    <cellStyle name="部门 38" xfId="2842"/>
    <cellStyle name="部门 39" xfId="2847"/>
    <cellStyle name="部门 4" xfId="2849"/>
    <cellStyle name="部门 40" xfId="2827"/>
    <cellStyle name="部门 41" xfId="2833"/>
    <cellStyle name="部门 42" xfId="2838"/>
    <cellStyle name="部门 43" xfId="2843"/>
    <cellStyle name="部门 44" xfId="2848"/>
    <cellStyle name="部门 45" xfId="2440"/>
    <cellStyle name="部门 46" xfId="2446"/>
    <cellStyle name="部门 47" xfId="2451"/>
    <cellStyle name="部门 48" xfId="2458"/>
    <cellStyle name="部门 49" xfId="2461"/>
    <cellStyle name="部门 5" xfId="2850"/>
    <cellStyle name="部门 50" xfId="2441"/>
    <cellStyle name="部门 51" xfId="2447"/>
    <cellStyle name="部门 52" xfId="2452"/>
    <cellStyle name="部门 6" xfId="2851"/>
    <cellStyle name="部门 7" xfId="2852"/>
    <cellStyle name="部门 8" xfId="2853"/>
    <cellStyle name="部门 9" xfId="1264"/>
    <cellStyle name="差 10" xfId="2854"/>
    <cellStyle name="差 2" xfId="2476"/>
    <cellStyle name="差 3" xfId="2857"/>
    <cellStyle name="差 3 2" xfId="2860"/>
    <cellStyle name="差 3 3" xfId="2862"/>
    <cellStyle name="差 3 4" xfId="77"/>
    <cellStyle name="差 3 5" xfId="158"/>
    <cellStyle name="差 3 6" xfId="192"/>
    <cellStyle name="差 3 7" xfId="224"/>
    <cellStyle name="差 4" xfId="2865"/>
    <cellStyle name="差 4 2" xfId="2867"/>
    <cellStyle name="差 5" xfId="2870"/>
    <cellStyle name="差 5 2" xfId="175"/>
    <cellStyle name="差 6" xfId="2872"/>
    <cellStyle name="差 6 2" xfId="2132"/>
    <cellStyle name="差 7" xfId="2873"/>
    <cellStyle name="差 7 2" xfId="2874"/>
    <cellStyle name="差 8" xfId="2875"/>
    <cellStyle name="差 8 2" xfId="2876"/>
    <cellStyle name="差 9" xfId="2878"/>
    <cellStyle name="差 9 2" xfId="2880"/>
    <cellStyle name="差_~4190974" xfId="2266"/>
    <cellStyle name="差_~4190974 2" xfId="2770"/>
    <cellStyle name="差_~4190974 3" xfId="2772"/>
    <cellStyle name="差_~4190974 4" xfId="2775"/>
    <cellStyle name="差_~4190974 5" xfId="2777"/>
    <cellStyle name="差_~4190974 6" xfId="2780"/>
    <cellStyle name="差_~4190974 7" xfId="1973"/>
    <cellStyle name="差_~4190974 8" xfId="2784"/>
    <cellStyle name="差_~4190974 9" xfId="84"/>
    <cellStyle name="差_~5676413" xfId="2372"/>
    <cellStyle name="差_~5676413 2" xfId="2881"/>
    <cellStyle name="差_~5676413 3" xfId="2882"/>
    <cellStyle name="差_~5676413 4" xfId="2883"/>
    <cellStyle name="差_~5676413 5" xfId="2239"/>
    <cellStyle name="差_~5676413 6" xfId="2884"/>
    <cellStyle name="差_~5676413 7" xfId="2885"/>
    <cellStyle name="差_~5676413 8" xfId="2886"/>
    <cellStyle name="差_~5676413 9" xfId="2887"/>
    <cellStyle name="差_00省级(打印)" xfId="2889"/>
    <cellStyle name="差_00省级(打印) 2" xfId="2371"/>
    <cellStyle name="差_00省级(打印) 3" xfId="2891"/>
    <cellStyle name="差_00省级(打印) 4" xfId="1682"/>
    <cellStyle name="差_00省级(打印) 5" xfId="2893"/>
    <cellStyle name="差_00省级(打印) 6" xfId="2895"/>
    <cellStyle name="差_00省级(打印) 7" xfId="2897"/>
    <cellStyle name="差_00省级(打印) 8" xfId="2898"/>
    <cellStyle name="差_00省级(打印) 9" xfId="2899"/>
    <cellStyle name="差_00省级(定稿)" xfId="2900"/>
    <cellStyle name="差_00省级(定稿) 2" xfId="2646"/>
    <cellStyle name="差_00省级(定稿) 3" xfId="2650"/>
    <cellStyle name="差_00省级(定稿) 4" xfId="2654"/>
    <cellStyle name="差_00省级(定稿) 5" xfId="2658"/>
    <cellStyle name="差_00省级(定稿) 6" xfId="400"/>
    <cellStyle name="差_00省级(定稿) 7" xfId="2665"/>
    <cellStyle name="差_00省级(定稿) 8" xfId="2902"/>
    <cellStyle name="差_00省级(定稿) 9" xfId="2903"/>
    <cellStyle name="差_03昭通" xfId="2905"/>
    <cellStyle name="差_03昭通 2" xfId="1332"/>
    <cellStyle name="差_03昭通 3" xfId="1334"/>
    <cellStyle name="差_03昭通 4" xfId="1336"/>
    <cellStyle name="差_03昭通 5" xfId="1338"/>
    <cellStyle name="差_03昭通 6" xfId="1340"/>
    <cellStyle name="差_03昭通 7" xfId="2906"/>
    <cellStyle name="差_03昭通 8" xfId="2907"/>
    <cellStyle name="差_03昭通 9" xfId="1215"/>
    <cellStyle name="差_0502通海县" xfId="2908"/>
    <cellStyle name="差_0502通海县 2" xfId="2909"/>
    <cellStyle name="差_0502通海县 3" xfId="2910"/>
    <cellStyle name="差_0502通海县 4" xfId="2911"/>
    <cellStyle name="差_0502通海县 5" xfId="2912"/>
    <cellStyle name="差_0502通海县 6" xfId="2913"/>
    <cellStyle name="差_0502通海县 7" xfId="2914"/>
    <cellStyle name="差_0502通海县 8" xfId="20"/>
    <cellStyle name="差_0502通海县 9" xfId="2915"/>
    <cellStyle name="差_05玉溪" xfId="2917"/>
    <cellStyle name="差_05玉溪 2" xfId="2918"/>
    <cellStyle name="差_05玉溪 3" xfId="2919"/>
    <cellStyle name="差_05玉溪 4" xfId="2920"/>
    <cellStyle name="差_05玉溪 5" xfId="2921"/>
    <cellStyle name="差_05玉溪 6" xfId="2922"/>
    <cellStyle name="差_05玉溪 7" xfId="2924"/>
    <cellStyle name="差_05玉溪 8" xfId="2926"/>
    <cellStyle name="差_05玉溪 9" xfId="2928"/>
    <cellStyle name="差_0605石屏县" xfId="1753"/>
    <cellStyle name="差_0605石屏县 2" xfId="2929"/>
    <cellStyle name="差_0605石屏县 3" xfId="2931"/>
    <cellStyle name="差_0605石屏县 4" xfId="2932"/>
    <cellStyle name="差_0605石屏县 5" xfId="2933"/>
    <cellStyle name="差_0605石屏县 6" xfId="2934"/>
    <cellStyle name="差_0605石屏县 7" xfId="2935"/>
    <cellStyle name="差_0605石屏县 8" xfId="2936"/>
    <cellStyle name="差_0605石屏县 9" xfId="2938"/>
    <cellStyle name="差_1003牟定县" xfId="933"/>
    <cellStyle name="差_1003牟定县 2" xfId="508"/>
    <cellStyle name="差_1003牟定县 3" xfId="516"/>
    <cellStyle name="差_1003牟定县 4" xfId="523"/>
    <cellStyle name="差_1003牟定县 5" xfId="531"/>
    <cellStyle name="差_1003牟定县 6" xfId="538"/>
    <cellStyle name="差_1003牟定县 7" xfId="2939"/>
    <cellStyle name="差_1003牟定县 8" xfId="2940"/>
    <cellStyle name="差_1003牟定县 9" xfId="2941"/>
    <cellStyle name="差_1110洱源县" xfId="2681"/>
    <cellStyle name="差_1110洱源县 2" xfId="1213"/>
    <cellStyle name="差_1110洱源县 3" xfId="1217"/>
    <cellStyle name="差_1110洱源县 4" xfId="1221"/>
    <cellStyle name="差_1110洱源县 5" xfId="1196"/>
    <cellStyle name="差_1110洱源县 6" xfId="2942"/>
    <cellStyle name="差_1110洱源县 7" xfId="2943"/>
    <cellStyle name="差_1110洱源县 8" xfId="2944"/>
    <cellStyle name="差_1110洱源县 9" xfId="2945"/>
    <cellStyle name="差_11大理" xfId="2946"/>
    <cellStyle name="差_11大理 2" xfId="2949"/>
    <cellStyle name="差_11大理 3" xfId="2951"/>
    <cellStyle name="差_11大理 4" xfId="2953"/>
    <cellStyle name="差_11大理 5" xfId="2955"/>
    <cellStyle name="差_11大理 6" xfId="1087"/>
    <cellStyle name="差_11大理 7" xfId="1089"/>
    <cellStyle name="差_11大理 8" xfId="1096"/>
    <cellStyle name="差_11大理 9" xfId="1098"/>
    <cellStyle name="差_2、土地面积、人口、粮食产量基本情况" xfId="2956"/>
    <cellStyle name="差_2、土地面积、人口、粮食产量基本情况 2" xfId="2958"/>
    <cellStyle name="差_2、土地面积、人口、粮食产量基本情况 3" xfId="2959"/>
    <cellStyle name="差_2、土地面积、人口、粮食产量基本情况 4" xfId="2963"/>
    <cellStyle name="差_2、土地面积、人口、粮食产量基本情况 5" xfId="2965"/>
    <cellStyle name="差_2、土地面积、人口、粮食产量基本情况 6" xfId="2967"/>
    <cellStyle name="差_2、土地面积、人口、粮食产量基本情况 7" xfId="2969"/>
    <cellStyle name="差_2、土地面积、人口、粮食产量基本情况 8" xfId="2972"/>
    <cellStyle name="差_2、土地面积、人口、粮食产量基本情况 9" xfId="2973"/>
    <cellStyle name="差_2006年分析表" xfId="2877"/>
    <cellStyle name="差_2006年基础数据" xfId="1233"/>
    <cellStyle name="差_2006年基础数据 2" xfId="1235"/>
    <cellStyle name="差_2006年基础数据 3" xfId="1237"/>
    <cellStyle name="差_2006年基础数据 4" xfId="1239"/>
    <cellStyle name="差_2006年基础数据 5" xfId="1243"/>
    <cellStyle name="差_2006年基础数据 6" xfId="1247"/>
    <cellStyle name="差_2006年基础数据 7" xfId="1251"/>
    <cellStyle name="差_2006年基础数据 8" xfId="1255"/>
    <cellStyle name="差_2006年基础数据 9" xfId="1259"/>
    <cellStyle name="差_2006年全省财力计算表（中央、决算）" xfId="1616"/>
    <cellStyle name="差_2006年全省财力计算表（中央、决算） 2" xfId="2975"/>
    <cellStyle name="差_2006年全省财力计算表（中央、决算） 3" xfId="2976"/>
    <cellStyle name="差_2006年全省财力计算表（中央、决算） 4" xfId="2977"/>
    <cellStyle name="差_2006年全省财力计算表（中央、决算） 5" xfId="2978"/>
    <cellStyle name="差_2006年全省财力计算表（中央、决算） 6" xfId="2979"/>
    <cellStyle name="差_2006年全省财力计算表（中央、决算） 7" xfId="2980"/>
    <cellStyle name="差_2006年全省财力计算表（中央、决算） 8" xfId="2981"/>
    <cellStyle name="差_2006年全省财力计算表（中央、决算） 9" xfId="2982"/>
    <cellStyle name="差_2006年水利统计指标统计表" xfId="2983"/>
    <cellStyle name="差_2006年水利统计指标统计表 2" xfId="2985"/>
    <cellStyle name="差_2006年水利统计指标统计表 3" xfId="2987"/>
    <cellStyle name="差_2006年水利统计指标统计表 4" xfId="2988"/>
    <cellStyle name="差_2006年水利统计指标统计表 5" xfId="2989"/>
    <cellStyle name="差_2006年水利统计指标统计表 6" xfId="810"/>
    <cellStyle name="差_2006年水利统计指标统计表 7" xfId="2990"/>
    <cellStyle name="差_2006年水利统计指标统计表 8" xfId="2991"/>
    <cellStyle name="差_2006年水利统计指标统计表 9" xfId="2992"/>
    <cellStyle name="差_2006年在职人员情况" xfId="1476"/>
    <cellStyle name="差_2006年在职人员情况 2" xfId="801"/>
    <cellStyle name="差_2006年在职人员情况 3" xfId="14"/>
    <cellStyle name="差_2006年在职人员情况 4" xfId="804"/>
    <cellStyle name="差_2006年在职人员情况 5" xfId="807"/>
    <cellStyle name="差_2006年在职人员情况 6" xfId="2994"/>
    <cellStyle name="差_2006年在职人员情况 7" xfId="2995"/>
    <cellStyle name="差_2006年在职人员情况 8" xfId="2996"/>
    <cellStyle name="差_2006年在职人员情况 9" xfId="2997"/>
    <cellStyle name="差_2007年检察院案件数" xfId="1345"/>
    <cellStyle name="差_2007年检察院案件数 2" xfId="1413"/>
    <cellStyle name="差_2007年检察院案件数 3" xfId="1415"/>
    <cellStyle name="差_2007年检察院案件数 4" xfId="1417"/>
    <cellStyle name="差_2007年检察院案件数 5" xfId="1419"/>
    <cellStyle name="差_2007年检察院案件数 6" xfId="1421"/>
    <cellStyle name="差_2007年检察院案件数 7" xfId="1423"/>
    <cellStyle name="差_2007年检察院案件数 8" xfId="1425"/>
    <cellStyle name="差_2007年检察院案件数 9" xfId="1427"/>
    <cellStyle name="差_2007年可用财力" xfId="2998"/>
    <cellStyle name="差_2007年人员分部门统计表" xfId="2999"/>
    <cellStyle name="差_2007年人员分部门统计表 2" xfId="3000"/>
    <cellStyle name="差_2007年人员分部门统计表 3" xfId="1208"/>
    <cellStyle name="差_2007年人员分部门统计表 4" xfId="3001"/>
    <cellStyle name="差_2007年人员分部门统计表 5" xfId="3002"/>
    <cellStyle name="差_2007年人员分部门统计表 6" xfId="3003"/>
    <cellStyle name="差_2007年人员分部门统计表 7" xfId="3004"/>
    <cellStyle name="差_2007年人员分部门统计表 8" xfId="879"/>
    <cellStyle name="差_2007年人员分部门统计表 9" xfId="3005"/>
    <cellStyle name="差_2007年政法部门业务指标" xfId="3008"/>
    <cellStyle name="差_2007年政法部门业务指标 2" xfId="3010"/>
    <cellStyle name="差_2007年政法部门业务指标 3" xfId="3012"/>
    <cellStyle name="差_2007年政法部门业务指标 4" xfId="3014"/>
    <cellStyle name="差_2007年政法部门业务指标 5" xfId="3016"/>
    <cellStyle name="差_2007年政法部门业务指标 6" xfId="3017"/>
    <cellStyle name="差_2007年政法部门业务指标 7" xfId="3019"/>
    <cellStyle name="差_2007年政法部门业务指标 8" xfId="3020"/>
    <cellStyle name="差_2007年政法部门业务指标 9" xfId="1836"/>
    <cellStyle name="差_2008年县级公安保障标准落实奖励经费分配测算" xfId="2189"/>
    <cellStyle name="差_2008云南省分县市中小学教职工统计表（教育厅提供）" xfId="536"/>
    <cellStyle name="差_2008云南省分县市中小学教职工统计表（教育厅提供） 2" xfId="3021"/>
    <cellStyle name="差_2008云南省分县市中小学教职工统计表（教育厅提供） 3" xfId="3022"/>
    <cellStyle name="差_2008云南省分县市中小学教职工统计表（教育厅提供） 4" xfId="3024"/>
    <cellStyle name="差_2008云南省分县市中小学教职工统计表（教育厅提供） 5" xfId="3025"/>
    <cellStyle name="差_2008云南省分县市中小学教职工统计表（教育厅提供） 6" xfId="3026"/>
    <cellStyle name="差_2008云南省分县市中小学教职工统计表（教育厅提供） 7" xfId="1609"/>
    <cellStyle name="差_2008云南省分县市中小学教职工统计表（教育厅提供） 8" xfId="1611"/>
    <cellStyle name="差_2008云南省分县市中小学教职工统计表（教育厅提供） 9" xfId="1613"/>
    <cellStyle name="差_2009年一般性转移支付标准工资" xfId="447"/>
    <cellStyle name="差_2009年一般性转移支付标准工资 2" xfId="50"/>
    <cellStyle name="差_2009年一般性转移支付标准工资 3" xfId="715"/>
    <cellStyle name="差_2009年一般性转移支付标准工资 4" xfId="721"/>
    <cellStyle name="差_2009年一般性转移支付标准工资 5" xfId="727"/>
    <cellStyle name="差_2009年一般性转移支付标准工资 6" xfId="734"/>
    <cellStyle name="差_2009年一般性转移支付标准工资 7" xfId="739"/>
    <cellStyle name="差_2009年一般性转移支付标准工资 8" xfId="1718"/>
    <cellStyle name="差_2009年一般性转移支付标准工资 9" xfId="1761"/>
    <cellStyle name="差_2009年一般性转移支付标准工资_~4190974" xfId="3028"/>
    <cellStyle name="差_2009年一般性转移支付标准工资_~4190974 2" xfId="3029"/>
    <cellStyle name="差_2009年一般性转移支付标准工资_~4190974 3" xfId="3030"/>
    <cellStyle name="差_2009年一般性转移支付标准工资_~4190974 4" xfId="3031"/>
    <cellStyle name="差_2009年一般性转移支付标准工资_~4190974 5" xfId="3032"/>
    <cellStyle name="差_2009年一般性转移支付标准工资_~4190974 6" xfId="3033"/>
    <cellStyle name="差_2009年一般性转移支付标准工资_~4190974 7" xfId="3034"/>
    <cellStyle name="差_2009年一般性转移支付标准工资_~4190974 8" xfId="3035"/>
    <cellStyle name="差_2009年一般性转移支付标准工资_~4190974 9" xfId="3036"/>
    <cellStyle name="差_2009年一般性转移支付标准工资_~5676413" xfId="3037"/>
    <cellStyle name="差_2009年一般性转移支付标准工资_~5676413 2" xfId="3039"/>
    <cellStyle name="差_2009年一般性转移支付标准工资_~5676413 3" xfId="3041"/>
    <cellStyle name="差_2009年一般性转移支付标准工资_~5676413 4" xfId="3043"/>
    <cellStyle name="差_2009年一般性转移支付标准工资_~5676413 5" xfId="3045"/>
    <cellStyle name="差_2009年一般性转移支付标准工资_~5676413 6" xfId="3047"/>
    <cellStyle name="差_2009年一般性转移支付标准工资_~5676413 7" xfId="3048"/>
    <cellStyle name="差_2009年一般性转移支付标准工资_~5676413 8" xfId="3049"/>
    <cellStyle name="差_2009年一般性转移支付标准工资_~5676413 9" xfId="3050"/>
    <cellStyle name="差_2009年一般性转移支付标准工资_不用软件计算9.1不考虑经费管理评价xl" xfId="3052"/>
    <cellStyle name="差_2009年一般性转移支付标准工资_不用软件计算9.1不考虑经费管理评价xl 2" xfId="3054"/>
    <cellStyle name="差_2009年一般性转移支付标准工资_不用软件计算9.1不考虑经费管理评价xl 3" xfId="3056"/>
    <cellStyle name="差_2009年一般性转移支付标准工资_不用软件计算9.1不考虑经费管理评价xl 4" xfId="3058"/>
    <cellStyle name="差_2009年一般性转移支付标准工资_不用软件计算9.1不考虑经费管理评价xl 5" xfId="3060"/>
    <cellStyle name="差_2009年一般性转移支付标准工资_不用软件计算9.1不考虑经费管理评价xl 6" xfId="3061"/>
    <cellStyle name="差_2009年一般性转移支付标准工资_不用软件计算9.1不考虑经费管理评价xl 7" xfId="3062"/>
    <cellStyle name="差_2009年一般性转移支付标准工资_不用软件计算9.1不考虑经费管理评价xl 8" xfId="3063"/>
    <cellStyle name="差_2009年一般性转移支付标准工资_不用软件计算9.1不考虑经费管理评价xl 9" xfId="3064"/>
    <cellStyle name="差_2009年一般性转移支付标准工资_地方配套按人均增幅控制8.30xl" xfId="3066"/>
    <cellStyle name="差_2009年一般性转移支付标准工资_地方配套按人均增幅控制8.30xl 2" xfId="3067"/>
    <cellStyle name="差_2009年一般性转移支付标准工资_地方配套按人均增幅控制8.30xl 3" xfId="3069"/>
    <cellStyle name="差_2009年一般性转移支付标准工资_地方配套按人均增幅控制8.30xl 4" xfId="3071"/>
    <cellStyle name="差_2009年一般性转移支付标准工资_地方配套按人均增幅控制8.30xl 5" xfId="3073"/>
    <cellStyle name="差_2009年一般性转移支付标准工资_地方配套按人均增幅控制8.30xl 6" xfId="3075"/>
    <cellStyle name="差_2009年一般性转移支付标准工资_地方配套按人均增幅控制8.30xl 7" xfId="1677"/>
    <cellStyle name="差_2009年一般性转移支付标准工资_地方配套按人均增幅控制8.30xl 8" xfId="2763"/>
    <cellStyle name="差_2009年一般性转移支付标准工资_地方配套按人均增幅控制8.30xl 9" xfId="3077"/>
    <cellStyle name="差_2009年一般性转移支付标准工资_地方配套按人均增幅控制8.30一般预算平均增幅、人均可用财力平均增幅两次控制、社会治安系数调整、案件数调整xl" xfId="1670"/>
    <cellStyle name="差_2009年一般性转移支付标准工资_地方配套按人均增幅控制8.30一般预算平均增幅、人均可用财力平均增幅两次控制、社会治安系数调整、案件数调整xl 2" xfId="3078"/>
    <cellStyle name="差_2009年一般性转移支付标准工资_地方配套按人均增幅控制8.30一般预算平均增幅、人均可用财力平均增幅两次控制、社会治安系数调整、案件数调整xl 3" xfId="3079"/>
    <cellStyle name="差_2009年一般性转移支付标准工资_地方配套按人均增幅控制8.30一般预算平均增幅、人均可用财力平均增幅两次控制、社会治安系数调整、案件数调整xl 4" xfId="3080"/>
    <cellStyle name="差_2009年一般性转移支付标准工资_地方配套按人均增幅控制8.30一般预算平均增幅、人均可用财力平均增幅两次控制、社会治安系数调整、案件数调整xl 5" xfId="3081"/>
    <cellStyle name="差_2009年一般性转移支付标准工资_地方配套按人均增幅控制8.30一般预算平均增幅、人均可用财力平均增幅两次控制、社会治安系数调整、案件数调整xl 6" xfId="3082"/>
    <cellStyle name="差_2009年一般性转移支付标准工资_地方配套按人均增幅控制8.30一般预算平均增幅、人均可用财力平均增幅两次控制、社会治安系数调整、案件数调整xl 7" xfId="3083"/>
    <cellStyle name="差_2009年一般性转移支付标准工资_地方配套按人均增幅控制8.30一般预算平均增幅、人均可用财力平均增幅两次控制、社会治安系数调整、案件数调整xl 8" xfId="3084"/>
    <cellStyle name="差_2009年一般性转移支付标准工资_地方配套按人均增幅控制8.30一般预算平均增幅、人均可用财力平均增幅两次控制、社会治安系数调整、案件数调整xl 9" xfId="3085"/>
    <cellStyle name="差_2009年一般性转移支付标准工资_地方配套按人均增幅控制8.31（调整结案率后）xl" xfId="1385"/>
    <cellStyle name="差_2009年一般性转移支付标准工资_地方配套按人均增幅控制8.31（调整结案率后）xl 2" xfId="3086"/>
    <cellStyle name="差_2009年一般性转移支付标准工资_地方配套按人均增幅控制8.31（调整结案率后）xl 3" xfId="3088"/>
    <cellStyle name="差_2009年一般性转移支付标准工资_地方配套按人均增幅控制8.31（调整结案率后）xl 4" xfId="3090"/>
    <cellStyle name="差_2009年一般性转移支付标准工资_地方配套按人均增幅控制8.31（调整结案率后）xl 5" xfId="3092"/>
    <cellStyle name="差_2009年一般性转移支付标准工资_地方配套按人均增幅控制8.31（调整结案率后）xl 6" xfId="3094"/>
    <cellStyle name="差_2009年一般性转移支付标准工资_地方配套按人均增幅控制8.31（调整结案率后）xl 7" xfId="17"/>
    <cellStyle name="差_2009年一般性转移支付标准工资_地方配套按人均增幅控制8.31（调整结案率后）xl 8" xfId="3096"/>
    <cellStyle name="差_2009年一般性转移支付标准工资_地方配套按人均增幅控制8.31（调整结案率后）xl 9" xfId="3098"/>
    <cellStyle name="差_2009年一般性转移支付标准工资_奖励补助测算5.22测试" xfId="3099"/>
    <cellStyle name="差_2009年一般性转移支付标准工资_奖励补助测算5.22测试 2" xfId="1428"/>
    <cellStyle name="差_2009年一般性转移支付标准工资_奖励补助测算5.22测试 3" xfId="3100"/>
    <cellStyle name="差_2009年一般性转移支付标准工资_奖励补助测算5.22测试 4" xfId="3101"/>
    <cellStyle name="差_2009年一般性转移支付标准工资_奖励补助测算5.22测试 5" xfId="1220"/>
    <cellStyle name="差_2009年一般性转移支付标准工资_奖励补助测算5.22测试 6" xfId="3102"/>
    <cellStyle name="差_2009年一般性转移支付标准工资_奖励补助测算5.22测试 7" xfId="3103"/>
    <cellStyle name="差_2009年一般性转移支付标准工资_奖励补助测算5.22测试 8" xfId="3104"/>
    <cellStyle name="差_2009年一般性转移支付标准工资_奖励补助测算5.22测试 9" xfId="1890"/>
    <cellStyle name="差_2009年一般性转移支付标准工资_奖励补助测算5.23新" xfId="3107"/>
    <cellStyle name="差_2009年一般性转移支付标准工资_奖励补助测算5.23新 2" xfId="3109"/>
    <cellStyle name="差_2009年一般性转移支付标准工资_奖励补助测算5.23新 3" xfId="6"/>
    <cellStyle name="差_2009年一般性转移支付标准工资_奖励补助测算5.23新 4" xfId="3111"/>
    <cellStyle name="差_2009年一般性转移支付标准工资_奖励补助测算5.23新 5" xfId="3113"/>
    <cellStyle name="差_2009年一般性转移支付标准工资_奖励补助测算5.23新 6" xfId="3115"/>
    <cellStyle name="差_2009年一般性转移支付标准工资_奖励补助测算5.23新 7" xfId="3117"/>
    <cellStyle name="差_2009年一般性转移支付标准工资_奖励补助测算5.23新 8" xfId="3119"/>
    <cellStyle name="差_2009年一般性转移支付标准工资_奖励补助测算5.23新 9" xfId="3120"/>
    <cellStyle name="差_2009年一般性转移支付标准工资_奖励补助测算5.24冯铸" xfId="3121"/>
    <cellStyle name="差_2009年一般性转移支付标准工资_奖励补助测算5.24冯铸 2" xfId="1603"/>
    <cellStyle name="差_2009年一般性转移支付标准工资_奖励补助测算5.24冯铸 3" xfId="1605"/>
    <cellStyle name="差_2009年一般性转移支付标准工资_奖励补助测算5.24冯铸 4" xfId="1607"/>
    <cellStyle name="差_2009年一般性转移支付标准工资_奖励补助测算5.24冯铸 5" xfId="2084"/>
    <cellStyle name="差_2009年一般性转移支付标准工资_奖励补助测算5.24冯铸 6" xfId="3122"/>
    <cellStyle name="差_2009年一般性转移支付标准工资_奖励补助测算5.24冯铸 7" xfId="3123"/>
    <cellStyle name="差_2009年一般性转移支付标准工资_奖励补助测算5.24冯铸 8" xfId="1797"/>
    <cellStyle name="差_2009年一般性转移支付标准工资_奖励补助测算5.24冯铸 9" xfId="1801"/>
    <cellStyle name="差_2009年一般性转移支付标准工资_奖励补助测算7.23" xfId="3124"/>
    <cellStyle name="差_2009年一般性转移支付标准工资_奖励补助测算7.23 2" xfId="3125"/>
    <cellStyle name="差_2009年一般性转移支付标准工资_奖励补助测算7.23 3" xfId="3126"/>
    <cellStyle name="差_2009年一般性转移支付标准工资_奖励补助测算7.23 4" xfId="3128"/>
    <cellStyle name="差_2009年一般性转移支付标准工资_奖励补助测算7.23 5" xfId="3129"/>
    <cellStyle name="差_2009年一般性转移支付标准工资_奖励补助测算7.23 6" xfId="3131"/>
    <cellStyle name="差_2009年一般性转移支付标准工资_奖励补助测算7.23 7" xfId="3132"/>
    <cellStyle name="差_2009年一般性转移支付标准工资_奖励补助测算7.23 8" xfId="3134"/>
    <cellStyle name="差_2009年一般性转移支付标准工资_奖励补助测算7.23 9" xfId="3135"/>
    <cellStyle name="差_2009年一般性转移支付标准工资_奖励补助测算7.25" xfId="3137"/>
    <cellStyle name="差_2009年一般性转移支付标准工资_奖励补助测算7.25 (version 1) (version 1)" xfId="3138"/>
    <cellStyle name="差_2009年一般性转移支付标准工资_奖励补助测算7.25 (version 1) (version 1) 2" xfId="113"/>
    <cellStyle name="差_2009年一般性转移支付标准工资_奖励补助测算7.25 (version 1) (version 1) 3" xfId="3139"/>
    <cellStyle name="差_2009年一般性转移支付标准工资_奖励补助测算7.25 (version 1) (version 1) 4" xfId="3140"/>
    <cellStyle name="差_2009年一般性转移支付标准工资_奖励补助测算7.25 (version 1) (version 1) 5" xfId="3141"/>
    <cellStyle name="差_2009年一般性转移支付标准工资_奖励补助测算7.25 (version 1) (version 1) 6" xfId="3142"/>
    <cellStyle name="差_2009年一般性转移支付标准工资_奖励补助测算7.25 (version 1) (version 1) 7" xfId="3143"/>
    <cellStyle name="差_2009年一般性转移支付标准工资_奖励补助测算7.25 (version 1) (version 1) 8" xfId="3144"/>
    <cellStyle name="差_2009年一般性转移支付标准工资_奖励补助测算7.25 (version 1) (version 1) 9" xfId="3145"/>
    <cellStyle name="差_2009年一般性转移支付标准工资_奖励补助测算7.25 2" xfId="3146"/>
    <cellStyle name="差_2009年一般性转移支付标准工资_奖励补助测算7.25 3" xfId="3147"/>
    <cellStyle name="差_2009年一般性转移支付标准工资_奖励补助测算7.25 4" xfId="76"/>
    <cellStyle name="差_2009年一般性转移支付标准工资_奖励补助测算7.25 5" xfId="3148"/>
    <cellStyle name="差_2009年一般性转移支付标准工资_奖励补助测算7.25 6" xfId="3150"/>
    <cellStyle name="差_2009年一般性转移支付标准工资_奖励补助测算7.25 7" xfId="3151"/>
    <cellStyle name="差_2009年一般性转移支付标准工资_奖励补助测算7.25 8" xfId="3152"/>
    <cellStyle name="差_2009年一般性转移支付标准工资_奖励补助测算7.25 9" xfId="3153"/>
    <cellStyle name="差_530623_2006年县级财政报表附表" xfId="2582"/>
    <cellStyle name="差_530623_2006年县级财政报表附表 2" xfId="681"/>
    <cellStyle name="差_530623_2006年县级财政报表附表 3" xfId="684"/>
    <cellStyle name="差_530623_2006年县级财政报表附表 4" xfId="70"/>
    <cellStyle name="差_530623_2006年县级财政报表附表 5" xfId="688"/>
    <cellStyle name="差_530623_2006年县级财政报表附表 6" xfId="693"/>
    <cellStyle name="差_530623_2006年县级财政报表附表 7" xfId="3157"/>
    <cellStyle name="差_530623_2006年县级财政报表附表 8" xfId="3160"/>
    <cellStyle name="差_530623_2006年县级财政报表附表 9" xfId="2609"/>
    <cellStyle name="差_530629_2006年县级财政报表附表" xfId="3161"/>
    <cellStyle name="差_530629_2006年县级财政报表附表 2" xfId="3162"/>
    <cellStyle name="差_530629_2006年县级财政报表附表 3" xfId="3163"/>
    <cellStyle name="差_530629_2006年县级财政报表附表 4" xfId="3164"/>
    <cellStyle name="差_530629_2006年县级财政报表附表 5" xfId="3165"/>
    <cellStyle name="差_530629_2006年县级财政报表附表 6" xfId="3166"/>
    <cellStyle name="差_530629_2006年县级财政报表附表 7" xfId="3167"/>
    <cellStyle name="差_530629_2006年县级财政报表附表 8" xfId="2879"/>
    <cellStyle name="差_530629_2006年县级财政报表附表 9" xfId="3168"/>
    <cellStyle name="差_5334_2006年迪庆县级财政报表附表" xfId="3169"/>
    <cellStyle name="差_5334_2006年迪庆县级财政报表附表 2" xfId="1944"/>
    <cellStyle name="差_5334_2006年迪庆县级财政报表附表 3" xfId="3171"/>
    <cellStyle name="差_5334_2006年迪庆县级财政报表附表 4" xfId="3172"/>
    <cellStyle name="差_5334_2006年迪庆县级财政报表附表 5" xfId="3173"/>
    <cellStyle name="差_5334_2006年迪庆县级财政报表附表 6" xfId="3174"/>
    <cellStyle name="差_5334_2006年迪庆县级财政报表附表 7" xfId="3175"/>
    <cellStyle name="差_5334_2006年迪庆县级财政报表附表 8" xfId="3177"/>
    <cellStyle name="差_5334_2006年迪庆县级财政报表附表 9" xfId="3178"/>
    <cellStyle name="差_Book1" xfId="3180"/>
    <cellStyle name="差_Book1 2" xfId="1488"/>
    <cellStyle name="差_Book1 3" xfId="1493"/>
    <cellStyle name="差_Book1 4" xfId="1498"/>
    <cellStyle name="差_Book1 5" xfId="1503"/>
    <cellStyle name="差_Book1 6" xfId="1508"/>
    <cellStyle name="差_Book1 7" xfId="1913"/>
    <cellStyle name="差_Book1 8" xfId="1920"/>
    <cellStyle name="差_Book1 9" xfId="1225"/>
    <cellStyle name="差_Book1_1" xfId="2113"/>
    <cellStyle name="差_Book1_1 2" xfId="1782"/>
    <cellStyle name="差_Book1_1 3" xfId="1167"/>
    <cellStyle name="差_Book1_1 4" xfId="1784"/>
    <cellStyle name="差_Book1_1 5" xfId="1787"/>
    <cellStyle name="差_Book1_1 6" xfId="1790"/>
    <cellStyle name="差_Book1_1 7" xfId="1794"/>
    <cellStyle name="差_Book1_1 8" xfId="498"/>
    <cellStyle name="差_Book1_1 9" xfId="27"/>
    <cellStyle name="差_Book2" xfId="73"/>
    <cellStyle name="差_Book2 2" xfId="1547"/>
    <cellStyle name="差_Book2 3" xfId="1552"/>
    <cellStyle name="差_Book2 4" xfId="1557"/>
    <cellStyle name="差_Book2 5" xfId="1562"/>
    <cellStyle name="差_Book2 6" xfId="1567"/>
    <cellStyle name="差_Book2 7" xfId="2350"/>
    <cellStyle name="差_Book2 8" xfId="2353"/>
    <cellStyle name="差_Book2 9" xfId="3182"/>
    <cellStyle name="差_M01-2(州市补助收入)" xfId="1330"/>
    <cellStyle name="差_M01-2(州市补助收入) 2" xfId="2937"/>
    <cellStyle name="差_M01-2(州市补助收入) 3" xfId="3183"/>
    <cellStyle name="差_M01-2(州市补助收入) 4" xfId="3184"/>
    <cellStyle name="差_M01-2(州市补助收入) 5" xfId="1374"/>
    <cellStyle name="差_M01-2(州市补助收入) 6" xfId="1376"/>
    <cellStyle name="差_M01-2(州市补助收入) 7" xfId="1378"/>
    <cellStyle name="差_M01-2(州市补助收入) 8" xfId="1380"/>
    <cellStyle name="差_M01-2(州市补助收入) 9" xfId="1382"/>
    <cellStyle name="差_M03" xfId="474"/>
    <cellStyle name="差_M03 2" xfId="633"/>
    <cellStyle name="差_M03 3" xfId="3185"/>
    <cellStyle name="差_M03 4" xfId="3187"/>
    <cellStyle name="差_M03 5" xfId="2947"/>
    <cellStyle name="差_M03 6" xfId="2950"/>
    <cellStyle name="差_M03 7" xfId="2952"/>
    <cellStyle name="差_M03 8" xfId="2954"/>
    <cellStyle name="差_M03 9" xfId="1085"/>
    <cellStyle name="差_不用软件计算9.1不考虑经费管理评价xl" xfId="3189"/>
    <cellStyle name="差_不用软件计算9.1不考虑经费管理评价xl 2" xfId="2923"/>
    <cellStyle name="差_不用软件计算9.1不考虑经费管理评价xl 3" xfId="2925"/>
    <cellStyle name="差_不用软件计算9.1不考虑经费管理评价xl 4" xfId="2927"/>
    <cellStyle name="差_不用软件计算9.1不考虑经费管理评价xl 5" xfId="1625"/>
    <cellStyle name="差_不用软件计算9.1不考虑经费管理评价xl 6" xfId="3190"/>
    <cellStyle name="差_不用软件计算9.1不考虑经费管理评价xl 7" xfId="3191"/>
    <cellStyle name="差_不用软件计算9.1不考虑经费管理评价xl 8" xfId="3192"/>
    <cellStyle name="差_不用软件计算9.1不考虑经费管理评价xl 9" xfId="3193"/>
    <cellStyle name="差_财政供养人员" xfId="210"/>
    <cellStyle name="差_财政供养人员 2" xfId="3195"/>
    <cellStyle name="差_财政供养人员 3" xfId="3197"/>
    <cellStyle name="差_财政供养人员 4" xfId="3199"/>
    <cellStyle name="差_财政供养人员 5" xfId="3201"/>
    <cellStyle name="差_财政供养人员 6" xfId="3203"/>
    <cellStyle name="差_财政供养人员 7" xfId="3205"/>
    <cellStyle name="差_财政供养人员 8" xfId="3207"/>
    <cellStyle name="差_财政供养人员 9" xfId="3209"/>
    <cellStyle name="差_财政支出对上级的依赖程度" xfId="3212"/>
    <cellStyle name="差_城建部门" xfId="3213"/>
    <cellStyle name="差_地方配套按人均增幅控制8.30xl" xfId="123"/>
    <cellStyle name="差_地方配套按人均增幅控制8.30xl 2" xfId="23"/>
    <cellStyle name="差_地方配套按人均增幅控制8.30xl 3" xfId="3214"/>
    <cellStyle name="差_地方配套按人均增幅控制8.30xl 4" xfId="3215"/>
    <cellStyle name="差_地方配套按人均增幅控制8.30xl 5" xfId="2741"/>
    <cellStyle name="差_地方配套按人均增幅控制8.30xl 6" xfId="3216"/>
    <cellStyle name="差_地方配套按人均增幅控制8.30xl 7" xfId="3217"/>
    <cellStyle name="差_地方配套按人均增幅控制8.30xl 8" xfId="3218"/>
    <cellStyle name="差_地方配套按人均增幅控制8.30xl 9" xfId="3219"/>
    <cellStyle name="差_地方配套按人均增幅控制8.30一般预算平均增幅、人均可用财力平均增幅两次控制、社会治安系数调整、案件数调整xl" xfId="1781"/>
    <cellStyle name="差_地方配套按人均增幅控制8.30一般预算平均增幅、人均可用财力平均增幅两次控制、社会治安系数调整、案件数调整xl 2" xfId="3220"/>
    <cellStyle name="差_地方配套按人均增幅控制8.30一般预算平均增幅、人均可用财力平均增幅两次控制、社会治安系数调整、案件数调整xl 3" xfId="3221"/>
    <cellStyle name="差_地方配套按人均增幅控制8.30一般预算平均增幅、人均可用财力平均增幅两次控制、社会治安系数调整、案件数调整xl 4" xfId="3222"/>
    <cellStyle name="差_地方配套按人均增幅控制8.30一般预算平均增幅、人均可用财力平均增幅两次控制、社会治安系数调整、案件数调整xl 5" xfId="3224"/>
    <cellStyle name="差_地方配套按人均增幅控制8.30一般预算平均增幅、人均可用财力平均增幅两次控制、社会治安系数调整、案件数调整xl 6" xfId="3226"/>
    <cellStyle name="差_地方配套按人均增幅控制8.30一般预算平均增幅、人均可用财力平均增幅两次控制、社会治安系数调整、案件数调整xl 7" xfId="3228"/>
    <cellStyle name="差_地方配套按人均增幅控制8.30一般预算平均增幅、人均可用财力平均增幅两次控制、社会治安系数调整、案件数调整xl 8" xfId="3230"/>
    <cellStyle name="差_地方配套按人均增幅控制8.30一般预算平均增幅、人均可用财力平均增幅两次控制、社会治安系数调整、案件数调整xl 9" xfId="3232"/>
    <cellStyle name="差_地方配套按人均增幅控制8.31（调整结案率后）xl" xfId="3234"/>
    <cellStyle name="差_地方配套按人均增幅控制8.31（调整结案率后）xl 2" xfId="3235"/>
    <cellStyle name="差_地方配套按人均增幅控制8.31（调整结案率后）xl 3" xfId="3236"/>
    <cellStyle name="差_地方配套按人均增幅控制8.31（调整结案率后）xl 4" xfId="1462"/>
    <cellStyle name="差_地方配套按人均增幅控制8.31（调整结案率后）xl 5" xfId="1656"/>
    <cellStyle name="差_地方配套按人均增幅控制8.31（调整结案率后）xl 6" xfId="3237"/>
    <cellStyle name="差_地方配套按人均增幅控制8.31（调整结案率后）xl 7" xfId="3238"/>
    <cellStyle name="差_地方配套按人均增幅控制8.31（调整结案率后）xl 8" xfId="3239"/>
    <cellStyle name="差_地方配套按人均增幅控制8.31（调整结案率后）xl 9" xfId="3240"/>
    <cellStyle name="差_第五部分(才淼、饶永宏）" xfId="3241"/>
    <cellStyle name="差_第五部分(才淼、饶永宏） 2" xfId="1407"/>
    <cellStyle name="差_第五部分(才淼、饶永宏） 3" xfId="1410"/>
    <cellStyle name="差_第五部分(才淼、饶永宏） 4" xfId="3242"/>
    <cellStyle name="差_第五部分(才淼、饶永宏） 5" xfId="3243"/>
    <cellStyle name="差_第五部分(才淼、饶永宏） 6" xfId="3244"/>
    <cellStyle name="差_第五部分(才淼、饶永宏） 7" xfId="3245"/>
    <cellStyle name="差_第五部分(才淼、饶永宏） 8" xfId="3246"/>
    <cellStyle name="差_第五部分(才淼、饶永宏） 9" xfId="1665"/>
    <cellStyle name="差_第一部分：综合全" xfId="2729"/>
    <cellStyle name="差_高中教师人数（教育厅1.6日提供）" xfId="940"/>
    <cellStyle name="差_高中教师人数（教育厅1.6日提供） 2" xfId="571"/>
    <cellStyle name="差_高中教师人数（教育厅1.6日提供） 3" xfId="575"/>
    <cellStyle name="差_高中教师人数（教育厅1.6日提供） 4" xfId="578"/>
    <cellStyle name="差_高中教师人数（教育厅1.6日提供） 5" xfId="581"/>
    <cellStyle name="差_高中教师人数（教育厅1.6日提供） 6" xfId="584"/>
    <cellStyle name="差_高中教师人数（教育厅1.6日提供） 7" xfId="3248"/>
    <cellStyle name="差_高中教师人数（教育厅1.6日提供） 8" xfId="3249"/>
    <cellStyle name="差_高中教师人数（教育厅1.6日提供） 9" xfId="3250"/>
    <cellStyle name="差_汇总" xfId="3251"/>
    <cellStyle name="差_汇总 2" xfId="3252"/>
    <cellStyle name="差_汇总 3" xfId="3253"/>
    <cellStyle name="差_汇总 4" xfId="395"/>
    <cellStyle name="差_汇总 5" xfId="3254"/>
    <cellStyle name="差_汇总 6" xfId="3255"/>
    <cellStyle name="差_汇总 7" xfId="3256"/>
    <cellStyle name="差_汇总 8" xfId="2859"/>
    <cellStyle name="差_汇总 9" xfId="2861"/>
    <cellStyle name="差_汇总-县级财政报表附表" xfId="751"/>
    <cellStyle name="差_汇总-县级财政报表附表 2" xfId="3257"/>
    <cellStyle name="差_汇总-县级财政报表附表 3" xfId="3258"/>
    <cellStyle name="差_汇总-县级财政报表附表 4" xfId="3259"/>
    <cellStyle name="差_汇总-县级财政报表附表 5" xfId="3261"/>
    <cellStyle name="差_汇总-县级财政报表附表 6" xfId="3262"/>
    <cellStyle name="差_汇总-县级财政报表附表 7" xfId="3263"/>
    <cellStyle name="差_汇总-县级财政报表附表 8" xfId="3264"/>
    <cellStyle name="差_汇总-县级财政报表附表 9" xfId="3265"/>
    <cellStyle name="差_基础数据分析" xfId="3127"/>
    <cellStyle name="差_基础数据分析 2" xfId="3267"/>
    <cellStyle name="差_基础数据分析 3" xfId="3269"/>
    <cellStyle name="差_基础数据分析 4" xfId="3271"/>
    <cellStyle name="差_基础数据分析 5" xfId="3273"/>
    <cellStyle name="差_基础数据分析 6" xfId="3274"/>
    <cellStyle name="差_基础数据分析 7" xfId="3275"/>
    <cellStyle name="差_基础数据分析 8" xfId="3276"/>
    <cellStyle name="差_基础数据分析 9" xfId="3277"/>
    <cellStyle name="差_检验表" xfId="3278"/>
    <cellStyle name="差_检验表（调整后）" xfId="3208"/>
    <cellStyle name="差_奖励补助测算5.22测试" xfId="1697"/>
    <cellStyle name="差_奖励补助测算5.22测试 2" xfId="3279"/>
    <cellStyle name="差_奖励补助测算5.22测试 3" xfId="3280"/>
    <cellStyle name="差_奖励补助测算5.22测试 4" xfId="3007"/>
    <cellStyle name="差_奖励补助测算5.22测试 5" xfId="3281"/>
    <cellStyle name="差_奖励补助测算5.22测试 6" xfId="3282"/>
    <cellStyle name="差_奖励补助测算5.22测试 7" xfId="3283"/>
    <cellStyle name="差_奖励补助测算5.22测试 8" xfId="3284"/>
    <cellStyle name="差_奖励补助测算5.22测试 9" xfId="3285"/>
    <cellStyle name="差_奖励补助测算5.23新" xfId="1201"/>
    <cellStyle name="差_奖励补助测算5.23新 2" xfId="938"/>
    <cellStyle name="差_奖励补助测算5.23新 3" xfId="942"/>
    <cellStyle name="差_奖励补助测算5.23新 4" xfId="945"/>
    <cellStyle name="差_奖励补助测算5.23新 5" xfId="948"/>
    <cellStyle name="差_奖励补助测算5.23新 6" xfId="951"/>
    <cellStyle name="差_奖励补助测算5.23新 7" xfId="954"/>
    <cellStyle name="差_奖励补助测算5.23新 8" xfId="958"/>
    <cellStyle name="差_奖励补助测算5.23新 9" xfId="3288"/>
    <cellStyle name="差_奖励补助测算5.24冯铸" xfId="3290"/>
    <cellStyle name="差_奖励补助测算5.24冯铸 2" xfId="1632"/>
    <cellStyle name="差_奖励补助测算5.24冯铸 3" xfId="1636"/>
    <cellStyle name="差_奖励补助测算5.24冯铸 4" xfId="1640"/>
    <cellStyle name="差_奖励补助测算5.24冯铸 5" xfId="1644"/>
    <cellStyle name="差_奖励补助测算5.24冯铸 6" xfId="1648"/>
    <cellStyle name="差_奖励补助测算5.24冯铸 7" xfId="1650"/>
    <cellStyle name="差_奖励补助测算5.24冯铸 8" xfId="1652"/>
    <cellStyle name="差_奖励补助测算5.24冯铸 9" xfId="1348"/>
    <cellStyle name="差_奖励补助测算7.23" xfId="3292"/>
    <cellStyle name="差_奖励补助测算7.23 2" xfId="965"/>
    <cellStyle name="差_奖励补助测算7.23 3" xfId="967"/>
    <cellStyle name="差_奖励补助测算7.23 4" xfId="969"/>
    <cellStyle name="差_奖励补助测算7.23 5" xfId="971"/>
    <cellStyle name="差_奖励补助测算7.23 6" xfId="973"/>
    <cellStyle name="差_奖励补助测算7.23 7" xfId="975"/>
    <cellStyle name="差_奖励补助测算7.23 8" xfId="3293"/>
    <cellStyle name="差_奖励补助测算7.23 9" xfId="3294"/>
    <cellStyle name="差_奖励补助测算7.25" xfId="3296"/>
    <cellStyle name="差_奖励补助测算7.25 (version 1) (version 1)" xfId="3297"/>
    <cellStyle name="差_奖励补助测算7.25 (version 1) (version 1) 2" xfId="261"/>
    <cellStyle name="差_奖励补助测算7.25 (version 1) (version 1) 3" xfId="267"/>
    <cellStyle name="差_奖励补助测算7.25 (version 1) (version 1) 4" xfId="271"/>
    <cellStyle name="差_奖励补助测算7.25 (version 1) (version 1) 5" xfId="274"/>
    <cellStyle name="差_奖励补助测算7.25 (version 1) (version 1) 6" xfId="277"/>
    <cellStyle name="差_奖励补助测算7.25 (version 1) (version 1) 7" xfId="284"/>
    <cellStyle name="差_奖励补助测算7.25 (version 1) (version 1) 8" xfId="58"/>
    <cellStyle name="差_奖励补助测算7.25 (version 1) (version 1) 9" xfId="293"/>
    <cellStyle name="差_奖励补助测算7.25 2" xfId="994"/>
    <cellStyle name="差_奖励补助测算7.25 3" xfId="996"/>
    <cellStyle name="差_奖励补助测算7.25 4" xfId="998"/>
    <cellStyle name="差_奖励补助测算7.25 5" xfId="1000"/>
    <cellStyle name="差_奖励补助测算7.25 6" xfId="1002"/>
    <cellStyle name="差_奖励补助测算7.25 7" xfId="1004"/>
    <cellStyle name="差_奖励补助测算7.25 8" xfId="3298"/>
    <cellStyle name="差_奖励补助测算7.25 9" xfId="3299"/>
    <cellStyle name="差_教师绩效工资测算表（离退休按各地上报数测算）2009年1月1日" xfId="3006"/>
    <cellStyle name="差_教育厅提供义务教育及高中教师人数（2009年1月6日）" xfId="2164"/>
    <cellStyle name="差_教育厅提供义务教育及高中教师人数（2009年1月6日） 2" xfId="3300"/>
    <cellStyle name="差_教育厅提供义务教育及高中教师人数（2009年1月6日） 3" xfId="3301"/>
    <cellStyle name="差_教育厅提供义务教育及高中教师人数（2009年1月6日） 4" xfId="3302"/>
    <cellStyle name="差_教育厅提供义务教育及高中教师人数（2009年1月6日） 5" xfId="3303"/>
    <cellStyle name="差_教育厅提供义务教育及高中教师人数（2009年1月6日） 6" xfId="3304"/>
    <cellStyle name="差_教育厅提供义务教育及高中教师人数（2009年1月6日） 7" xfId="3305"/>
    <cellStyle name="差_教育厅提供义务教育及高中教师人数（2009年1月6日） 8" xfId="3306"/>
    <cellStyle name="差_教育厅提供义务教育及高中教师人数（2009年1月6日） 9" xfId="3307"/>
    <cellStyle name="差_历年教师人数" xfId="382"/>
    <cellStyle name="差_丽江汇总" xfId="3308"/>
    <cellStyle name="差_三季度－表二" xfId="3309"/>
    <cellStyle name="差_三季度－表二 2" xfId="2156"/>
    <cellStyle name="差_三季度－表二 3" xfId="2160"/>
    <cellStyle name="差_三季度－表二 4" xfId="2167"/>
    <cellStyle name="差_三季度－表二 5" xfId="2171"/>
    <cellStyle name="差_三季度－表二 6" xfId="2174"/>
    <cellStyle name="差_三季度－表二 7" xfId="2177"/>
    <cellStyle name="差_三季度－表二 8" xfId="2179"/>
    <cellStyle name="差_三季度－表二 9" xfId="3311"/>
    <cellStyle name="差_卫生部门" xfId="322"/>
    <cellStyle name="差_卫生部门 2" xfId="3313"/>
    <cellStyle name="差_卫生部门 3" xfId="3315"/>
    <cellStyle name="差_卫生部门 4" xfId="3318"/>
    <cellStyle name="差_卫生部门 5" xfId="1297"/>
    <cellStyle name="差_卫生部门 6" xfId="1299"/>
    <cellStyle name="差_卫生部门 7" xfId="1302"/>
    <cellStyle name="差_卫生部门 8" xfId="1304"/>
    <cellStyle name="差_卫生部门 9" xfId="1306"/>
    <cellStyle name="差_文体广播部门" xfId="3319"/>
    <cellStyle name="差_下半年禁毒办案经费分配2544.3万元" xfId="834"/>
    <cellStyle name="差_下半年禁吸戒毒经费1000万元" xfId="824"/>
    <cellStyle name="差_下半年禁吸戒毒经费1000万元 2" xfId="2455"/>
    <cellStyle name="差_下半年禁吸戒毒经费1000万元 3" xfId="2464"/>
    <cellStyle name="差_下半年禁吸戒毒经费1000万元 4" xfId="2468"/>
    <cellStyle name="差_下半年禁吸戒毒经费1000万元 5" xfId="2472"/>
    <cellStyle name="差_下半年禁吸戒毒经费1000万元 6" xfId="2475"/>
    <cellStyle name="差_下半年禁吸戒毒经费1000万元 7" xfId="2856"/>
    <cellStyle name="差_下半年禁吸戒毒经费1000万元 8" xfId="2864"/>
    <cellStyle name="差_下半年禁吸戒毒经费1000万元 9" xfId="2869"/>
    <cellStyle name="差_县级公安机关公用经费标准奖励测算方案（定稿）" xfId="3321"/>
    <cellStyle name="差_县级公安机关公用经费标准奖励测算方案（定稿） 2" xfId="3322"/>
    <cellStyle name="差_县级公安机关公用经费标准奖励测算方案（定稿） 3" xfId="3323"/>
    <cellStyle name="差_县级公安机关公用经费标准奖励测算方案（定稿） 4" xfId="3324"/>
    <cellStyle name="差_县级公安机关公用经费标准奖励测算方案（定稿） 5" xfId="3325"/>
    <cellStyle name="差_县级公安机关公用经费标准奖励测算方案（定稿） 6" xfId="3326"/>
    <cellStyle name="差_县级公安机关公用经费标准奖励测算方案（定稿） 7" xfId="2711"/>
    <cellStyle name="差_县级公安机关公用经费标准奖励测算方案（定稿） 8" xfId="3327"/>
    <cellStyle name="差_县级公安机关公用经费标准奖励测算方案（定稿） 9" xfId="3329"/>
    <cellStyle name="差_县级基础数据" xfId="3330"/>
    <cellStyle name="差_业务工作量指标" xfId="563"/>
    <cellStyle name="差_业务工作量指标 2" xfId="231"/>
    <cellStyle name="差_业务工作量指标 3" xfId="680"/>
    <cellStyle name="差_业务工作量指标 4" xfId="683"/>
    <cellStyle name="差_业务工作量指标 5" xfId="72"/>
    <cellStyle name="差_业务工作量指标 6" xfId="687"/>
    <cellStyle name="差_业务工作量指标 7" xfId="692"/>
    <cellStyle name="差_业务工作量指标 8" xfId="3156"/>
    <cellStyle name="差_业务工作量指标 9" xfId="3159"/>
    <cellStyle name="差_义务教育阶段教职工人数（教育厅提供最终）" xfId="1517"/>
    <cellStyle name="差_义务教育阶段教职工人数（教育厅提供最终） 2" xfId="3331"/>
    <cellStyle name="差_义务教育阶段教职工人数（教育厅提供最终） 3" xfId="3333"/>
    <cellStyle name="差_义务教育阶段教职工人数（教育厅提供最终） 4" xfId="1627"/>
    <cellStyle name="差_义务教育阶段教职工人数（教育厅提供最终） 5" xfId="1630"/>
    <cellStyle name="差_义务教育阶段教职工人数（教育厅提供最终） 6" xfId="1634"/>
    <cellStyle name="差_义务教育阶段教职工人数（教育厅提供最终） 7" xfId="1638"/>
    <cellStyle name="差_义务教育阶段教职工人数（教育厅提供最终） 8" xfId="1642"/>
    <cellStyle name="差_义务教育阶段教职工人数（教育厅提供最终） 9" xfId="1647"/>
    <cellStyle name="差_云南农村义务教育统计表" xfId="3337"/>
    <cellStyle name="差_云南农村义务教育统计表 2" xfId="3338"/>
    <cellStyle name="差_云南农村义务教育统计表 3" xfId="3339"/>
    <cellStyle name="差_云南农村义务教育统计表 4" xfId="3340"/>
    <cellStyle name="差_云南农村义务教育统计表 5" xfId="3341"/>
    <cellStyle name="差_云南农村义务教育统计表 6" xfId="3009"/>
    <cellStyle name="差_云南农村义务教育统计表 7" xfId="3011"/>
    <cellStyle name="差_云南农村义务教育统计表 8" xfId="3013"/>
    <cellStyle name="差_云南农村义务教育统计表 9" xfId="3015"/>
    <cellStyle name="差_云南省2008年中小学教师人数统计表" xfId="690"/>
    <cellStyle name="差_云南省2008年中小学教职工情况（教育厅提供20090101加工整理）" xfId="3343"/>
    <cellStyle name="差_云南省2008年中小学教职工情况（教育厅提供20090101加工整理） 2" xfId="1069"/>
    <cellStyle name="差_云南省2008年中小学教职工情况（教育厅提供20090101加工整理） 3" xfId="795"/>
    <cellStyle name="差_云南省2008年中小学教职工情况（教育厅提供20090101加工整理） 4" xfId="798"/>
    <cellStyle name="差_云南省2008年中小学教职工情况（教育厅提供20090101加工整理） 5" xfId="800"/>
    <cellStyle name="差_云南省2008年中小学教职工情况（教育厅提供20090101加工整理） 6" xfId="13"/>
    <cellStyle name="差_云南省2008年中小学教职工情况（教育厅提供20090101加工整理） 7" xfId="803"/>
    <cellStyle name="差_云南省2008年中小学教职工情况（教育厅提供20090101加工整理） 8" xfId="806"/>
    <cellStyle name="差_云南省2008年中小学教职工情况（教育厅提供20090101加工整理） 9" xfId="2993"/>
    <cellStyle name="差_云南省2008年转移支付测算——州市本级考核部分及政策性测算" xfId="2930"/>
    <cellStyle name="差_云南省2008年转移支付测算——州市本级考核部分及政策性测算 2" xfId="3344"/>
    <cellStyle name="差_云南省2008年转移支付测算——州市本级考核部分及政策性测算 3" xfId="3345"/>
    <cellStyle name="差_云南省2008年转移支付测算——州市本级考核部分及政策性测算 4" xfId="3346"/>
    <cellStyle name="差_云南省2008年转移支付测算——州市本级考核部分及政策性测算 5" xfId="3347"/>
    <cellStyle name="差_云南省2008年转移支付测算——州市本级考核部分及政策性测算 6" xfId="3348"/>
    <cellStyle name="差_云南省2008年转移支付测算——州市本级考核部分及政策性测算 7" xfId="3349"/>
    <cellStyle name="差_云南省2008年转移支付测算——州市本级考核部分及政策性测算 8" xfId="3350"/>
    <cellStyle name="差_云南省2008年转移支付测算——州市本级考核部分及政策性测算 9" xfId="3351"/>
    <cellStyle name="差_指标四" xfId="3352"/>
    <cellStyle name="差_指标四 2" xfId="3353"/>
    <cellStyle name="差_指标四 3" xfId="3354"/>
    <cellStyle name="差_指标四 4" xfId="3355"/>
    <cellStyle name="差_指标四 5" xfId="3356"/>
    <cellStyle name="差_指标四 6" xfId="3357"/>
    <cellStyle name="差_指标四 7" xfId="3312"/>
    <cellStyle name="差_指标四 8" xfId="3314"/>
    <cellStyle name="差_指标四 9" xfId="3316"/>
    <cellStyle name="差_指标五" xfId="3358"/>
    <cellStyle name="常规" xfId="0" builtinId="0"/>
    <cellStyle name="常规 10" xfId="1709"/>
    <cellStyle name="常规 10 2" xfId="1712"/>
    <cellStyle name="常规 11" xfId="3361"/>
    <cellStyle name="常规 11 2" xfId="3335"/>
    <cellStyle name="常规 12" xfId="3363"/>
    <cellStyle name="常规 12 2" xfId="3130"/>
    <cellStyle name="常规 13" xfId="3364"/>
    <cellStyle name="常规 13 2" xfId="3365"/>
    <cellStyle name="常规 14" xfId="3366"/>
    <cellStyle name="常规 14 2" xfId="3149"/>
    <cellStyle name="常规 15" xfId="1119"/>
    <cellStyle name="常规 15 2" xfId="2485"/>
    <cellStyle name="常规 16" xfId="1122"/>
    <cellStyle name="常规 17" xfId="1125"/>
    <cellStyle name="常规 17 2" xfId="2509"/>
    <cellStyle name="常规 17 3" xfId="2511"/>
    <cellStyle name="常规 17 4" xfId="2513"/>
    <cellStyle name="常规 19" xfId="1130"/>
    <cellStyle name="常规 19 2" xfId="3367"/>
    <cellStyle name="常规 2" xfId="1876"/>
    <cellStyle name="常规 2 10" xfId="3369"/>
    <cellStyle name="常规 2 11" xfId="3371"/>
    <cellStyle name="常规 2 12" xfId="3211"/>
    <cellStyle name="常规 2 13" xfId="3373"/>
    <cellStyle name="常规 2 14" xfId="3375"/>
    <cellStyle name="常规 2 15" xfId="3377"/>
    <cellStyle name="常规 2 16" xfId="3379"/>
    <cellStyle name="常规 2 2" xfId="3380"/>
    <cellStyle name="常规 2 2 10" xfId="3381"/>
    <cellStyle name="常规 2 2 2" xfId="3382"/>
    <cellStyle name="常规 2 2 2 2" xfId="1972"/>
    <cellStyle name="常规 2 2 2 3" xfId="2783"/>
    <cellStyle name="常规 2 2 2 4" xfId="83"/>
    <cellStyle name="常规 2 2 2 5" xfId="67"/>
    <cellStyle name="常规 2 2 2 6" xfId="93"/>
    <cellStyle name="常规 2 2 2 7" xfId="96"/>
    <cellStyle name="常规 2 2 2 8" xfId="99"/>
    <cellStyle name="常规 2 2 2 9" xfId="103"/>
    <cellStyle name="常规 2 2 3" xfId="3383"/>
    <cellStyle name="常规 2 2 4" xfId="3384"/>
    <cellStyle name="常规 2 2 5" xfId="3385"/>
    <cellStyle name="常规 2 2 6" xfId="2500"/>
    <cellStyle name="常规 2 2 7" xfId="2502"/>
    <cellStyle name="常规 2 2 8" xfId="2504"/>
    <cellStyle name="常规 2 2 9" xfId="2506"/>
    <cellStyle name="常规 2 2_Book1" xfId="2662"/>
    <cellStyle name="常规 2 3" xfId="3386"/>
    <cellStyle name="常规 2 3 2" xfId="3387"/>
    <cellStyle name="常规 2 3 3" xfId="3388"/>
    <cellStyle name="常规 2 3 4" xfId="2328"/>
    <cellStyle name="常规 2 3 5" xfId="3389"/>
    <cellStyle name="常规 2 3 6" xfId="2517"/>
    <cellStyle name="常规 2 3 7" xfId="3390"/>
    <cellStyle name="常规 2 3 8" xfId="3391"/>
    <cellStyle name="常规 2 3 9" xfId="3392"/>
    <cellStyle name="常规 2 4" xfId="3393"/>
    <cellStyle name="常规 2 4 2" xfId="3394"/>
    <cellStyle name="常规 2 4 3" xfId="3395"/>
    <cellStyle name="常规 2 4 4" xfId="3396"/>
    <cellStyle name="常规 2 4 5" xfId="3397"/>
    <cellStyle name="常规 2 4 6" xfId="2520"/>
    <cellStyle name="常规 2 4 7" xfId="3398"/>
    <cellStyle name="常规 2 4 8" xfId="3399"/>
    <cellStyle name="常规 2 4 9" xfId="3400"/>
    <cellStyle name="常规 2 5" xfId="3401"/>
    <cellStyle name="常规 2 5 2" xfId="3402"/>
    <cellStyle name="常规 2 5 3" xfId="3403"/>
    <cellStyle name="常规 2 5 4" xfId="3404"/>
    <cellStyle name="常规 2 5 5" xfId="3406"/>
    <cellStyle name="常规 2 5 6" xfId="2523"/>
    <cellStyle name="常规 2 5 7" xfId="3407"/>
    <cellStyle name="常规 2 5 8" xfId="3408"/>
    <cellStyle name="常规 2 5 9" xfId="3409"/>
    <cellStyle name="常规 2 6" xfId="3410"/>
    <cellStyle name="常规 2 6 2" xfId="3065"/>
    <cellStyle name="常规 2 6 3" xfId="3411"/>
    <cellStyle name="常规 2 6 4" xfId="3412"/>
    <cellStyle name="常规 2 6 5" xfId="3413"/>
    <cellStyle name="常规 2 6 6" xfId="2526"/>
    <cellStyle name="常规 2 6 7" xfId="3414"/>
    <cellStyle name="常规 2 6 8" xfId="90"/>
    <cellStyle name="常规 2 6 9" xfId="92"/>
    <cellStyle name="常规 2 7" xfId="2759"/>
    <cellStyle name="常规 2 7 2" xfId="240"/>
    <cellStyle name="常规 2 7 3" xfId="2017"/>
    <cellStyle name="常规 2 7 4" xfId="2022"/>
    <cellStyle name="常规 2 7 5" xfId="2027"/>
    <cellStyle name="常规 2 7 6" xfId="2031"/>
    <cellStyle name="常规 2 7 7" xfId="2036"/>
    <cellStyle name="常规 2 7 8" xfId="2041"/>
    <cellStyle name="常规 2 7 9" xfId="2045"/>
    <cellStyle name="常规 2 8" xfId="3415"/>
    <cellStyle name="常规 2 8 2" xfId="3417"/>
    <cellStyle name="常规 2 8 3" xfId="3419"/>
    <cellStyle name="常规 2 8 4" xfId="3422"/>
    <cellStyle name="常规 2 8 5" xfId="3425"/>
    <cellStyle name="常规 2 8 6" xfId="3428"/>
    <cellStyle name="常规 2 8 7" xfId="3430"/>
    <cellStyle name="常规 2 8 8" xfId="3432"/>
    <cellStyle name="常规 2 8 9" xfId="3434"/>
    <cellStyle name="常规 2 9" xfId="3435"/>
    <cellStyle name="常规 2_Book1" xfId="2809"/>
    <cellStyle name="常规 20" xfId="1120"/>
    <cellStyle name="常规 21" xfId="1123"/>
    <cellStyle name="常规 22" xfId="1126"/>
    <cellStyle name="常规 23" xfId="1128"/>
    <cellStyle name="常规 24" xfId="1131"/>
    <cellStyle name="常规 25" xfId="280"/>
    <cellStyle name="常规 26" xfId="55"/>
    <cellStyle name="常规 27" xfId="290"/>
    <cellStyle name="常规 28" xfId="296"/>
    <cellStyle name="常规 29" xfId="300"/>
    <cellStyle name="常规 3" xfId="1879"/>
    <cellStyle name="常规 3 10" xfId="3438"/>
    <cellStyle name="常规 3 11" xfId="3440"/>
    <cellStyle name="常规 3 2" xfId="3068"/>
    <cellStyle name="常规 3 2 2" xfId="3441"/>
    <cellStyle name="常规 3 2 3" xfId="1285"/>
    <cellStyle name="常规 3 2 4" xfId="3442"/>
    <cellStyle name="常规 3 2 5" xfId="628"/>
    <cellStyle name="常规 3 2 6" xfId="79"/>
    <cellStyle name="常规 3 2 7" xfId="470"/>
    <cellStyle name="常规 3 2 8" xfId="473"/>
    <cellStyle name="常规 3 2 9" xfId="477"/>
    <cellStyle name="常规 3 3" xfId="3070"/>
    <cellStyle name="常规 3 3 2" xfId="3443"/>
    <cellStyle name="常规 3 3 3" xfId="3444"/>
    <cellStyle name="常规 3 3 4" xfId="2357"/>
    <cellStyle name="常规 3 3 5" xfId="640"/>
    <cellStyle name="常规 3 3 6" xfId="495"/>
    <cellStyle name="常规 3 3 7" xfId="502"/>
    <cellStyle name="常规 3 3 8" xfId="24"/>
    <cellStyle name="常规 3 3 9" xfId="505"/>
    <cellStyle name="常规 3 4" xfId="3072"/>
    <cellStyle name="常规 3 5" xfId="3074"/>
    <cellStyle name="常规 3 6" xfId="1676"/>
    <cellStyle name="常规 3 7" xfId="2762"/>
    <cellStyle name="常规 3 8" xfId="3076"/>
    <cellStyle name="常规 3 9" xfId="3445"/>
    <cellStyle name="常规 3_Book1" xfId="1833"/>
    <cellStyle name="常规 30" xfId="281"/>
    <cellStyle name="常规 31" xfId="56"/>
    <cellStyle name="常规 32" xfId="291"/>
    <cellStyle name="常规 33" xfId="297"/>
    <cellStyle name="常规 34" xfId="301"/>
    <cellStyle name="常规 35" xfId="304"/>
    <cellStyle name="常规 36" xfId="312"/>
    <cellStyle name="常规 37" xfId="613"/>
    <cellStyle name="常规 38" xfId="616"/>
    <cellStyle name="常规 39" xfId="7"/>
    <cellStyle name="常规 4" xfId="1622"/>
    <cellStyle name="常规 4 2" xfId="3446"/>
    <cellStyle name="常规 4 3" xfId="3447"/>
    <cellStyle name="常规 4 4" xfId="3448"/>
    <cellStyle name="常规 4 5" xfId="3449"/>
    <cellStyle name="常规 4 6" xfId="3450"/>
    <cellStyle name="常规 4 7" xfId="3451"/>
    <cellStyle name="常规 4 8" xfId="3452"/>
    <cellStyle name="常规 4 9" xfId="3453"/>
    <cellStyle name="常规 40" xfId="305"/>
    <cellStyle name="常规 41" xfId="313"/>
    <cellStyle name="常规 42" xfId="614"/>
    <cellStyle name="常规 43" xfId="617"/>
    <cellStyle name="常规 44" xfId="8"/>
    <cellStyle name="常规 45" xfId="619"/>
    <cellStyle name="常规 46" xfId="3454"/>
    <cellStyle name="常规 47" xfId="3456"/>
    <cellStyle name="常规 48" xfId="3458"/>
    <cellStyle name="常规 49" xfId="3460"/>
    <cellStyle name="常规 5" xfId="1881"/>
    <cellStyle name="常规 5 10" xfId="3463"/>
    <cellStyle name="常规 5 2" xfId="3328"/>
    <cellStyle name="常规 5 2 2" xfId="3464"/>
    <cellStyle name="常规 5 2 3" xfId="3465"/>
    <cellStyle name="常规 5 2 4" xfId="3466"/>
    <cellStyle name="常规 5 2 5" xfId="2087"/>
    <cellStyle name="常规 5 2 6" xfId="2089"/>
    <cellStyle name="常规 5 2 7" xfId="2091"/>
    <cellStyle name="常规 5 2 8" xfId="2093"/>
    <cellStyle name="常规 5 2 9" xfId="2095"/>
    <cellStyle name="常规 5 3" xfId="3467"/>
    <cellStyle name="常规 5 4" xfId="3468"/>
    <cellStyle name="常规 5 5" xfId="3038"/>
    <cellStyle name="常规 5 6" xfId="3040"/>
    <cellStyle name="常规 5 7" xfId="3042"/>
    <cellStyle name="常规 5 8" xfId="3044"/>
    <cellStyle name="常规 5 9" xfId="3046"/>
    <cellStyle name="常规 5_Book1" xfId="3469"/>
    <cellStyle name="常规 51" xfId="3455"/>
    <cellStyle name="常规 52" xfId="3457"/>
    <cellStyle name="常规 54" xfId="3461"/>
    <cellStyle name="常规 55" xfId="3470"/>
    <cellStyle name="常规 56" xfId="1723"/>
    <cellStyle name="常规 57" xfId="1727"/>
    <cellStyle name="常规 58" xfId="1730"/>
    <cellStyle name="常规 59" xfId="1732"/>
    <cellStyle name="常规 6" xfId="3472"/>
    <cellStyle name="常规 6 2" xfId="2072"/>
    <cellStyle name="常规 6 3" xfId="2076"/>
    <cellStyle name="常规 6 4" xfId="2079"/>
    <cellStyle name="常规 6 5" xfId="35"/>
    <cellStyle name="常规 6 6" xfId="3474"/>
    <cellStyle name="常规 6 7" xfId="3475"/>
    <cellStyle name="常规 6 8" xfId="3476"/>
    <cellStyle name="常规 6 9" xfId="3051"/>
    <cellStyle name="常规 60" xfId="3471"/>
    <cellStyle name="常规 61" xfId="1724"/>
    <cellStyle name="常规 62" xfId="1728"/>
    <cellStyle name="常规 65" xfId="1137"/>
    <cellStyle name="常规 66" xfId="1734"/>
    <cellStyle name="常规 67" xfId="1738"/>
    <cellStyle name="常规 68" xfId="1743"/>
    <cellStyle name="常规 69" xfId="1747"/>
    <cellStyle name="常规 7" xfId="3477"/>
    <cellStyle name="常规 7 2" xfId="3478"/>
    <cellStyle name="常规 7 3" xfId="3479"/>
    <cellStyle name="常规 7 4" xfId="3480"/>
    <cellStyle name="常规 7 5" xfId="3481"/>
    <cellStyle name="常规 7 6" xfId="2100"/>
    <cellStyle name="常规 7 7" xfId="3482"/>
    <cellStyle name="常规 7 8" xfId="3483"/>
    <cellStyle name="常规 7 9" xfId="3484"/>
    <cellStyle name="常规 70" xfId="1138"/>
    <cellStyle name="常规 71" xfId="1735"/>
    <cellStyle name="常规 72" xfId="1739"/>
    <cellStyle name="常规 73" xfId="1744"/>
    <cellStyle name="常规 74" xfId="1748"/>
    <cellStyle name="常规 75" xfId="843"/>
    <cellStyle name="常规 76" xfId="1752"/>
    <cellStyle name="常规 78" xfId="701"/>
    <cellStyle name="常规 79" xfId="707"/>
    <cellStyle name="常规 8" xfId="3486"/>
    <cellStyle name="常规 8 2" xfId="3488"/>
    <cellStyle name="常规 8 3" xfId="3491"/>
    <cellStyle name="常规 8 4" xfId="3494"/>
    <cellStyle name="常规 8 5" xfId="3496"/>
    <cellStyle name="常规 8 6" xfId="3498"/>
    <cellStyle name="常规 8 7" xfId="3499"/>
    <cellStyle name="常规 8 8" xfId="2374"/>
    <cellStyle name="常规 8 9" xfId="3500"/>
    <cellStyle name="常规 80" xfId="844"/>
    <cellStyle name="常规 82" xfId="1756"/>
    <cellStyle name="常规 83" xfId="702"/>
    <cellStyle name="常规 84" xfId="708"/>
    <cellStyle name="常规 85" xfId="48"/>
    <cellStyle name="常规 89" xfId="732"/>
    <cellStyle name="常规 9" xfId="3502"/>
    <cellStyle name="常规 9 2" xfId="655"/>
    <cellStyle name="常规 90" xfId="49"/>
    <cellStyle name="常规 91" xfId="712"/>
    <cellStyle name="常规 92" xfId="720"/>
    <cellStyle name="常规 93" xfId="726"/>
    <cellStyle name="常规 94" xfId="733"/>
    <cellStyle name="常规_2001-2002年报表制度" xfId="650"/>
    <cellStyle name="常规_2010年2月投资月报" xfId="3505"/>
    <cellStyle name="常规_2011年全省各市主要指标排位" xfId="3506"/>
    <cellStyle name="常规_Sheet1" xfId="1806"/>
    <cellStyle name="常规_册子——贸易(2016年9月)" xfId="3310"/>
    <cellStyle name="常规_分市5" xfId="512"/>
    <cellStyle name="常规_农业产值" xfId="3507"/>
    <cellStyle name="常规_农业生产情况" xfId="3459"/>
    <cellStyle name="分级显示行_1_13区汇总" xfId="3508"/>
    <cellStyle name="分级显示列_1_Book1" xfId="2675"/>
    <cellStyle name="归盒啦_95" xfId="1956"/>
    <cellStyle name="好 10" xfId="1874"/>
    <cellStyle name="好 2" xfId="3509"/>
    <cellStyle name="好 3" xfId="3510"/>
    <cellStyle name="好 3 2" xfId="3511"/>
    <cellStyle name="好 3 3" xfId="899"/>
    <cellStyle name="好 3 4" xfId="901"/>
    <cellStyle name="好 3 5" xfId="908"/>
    <cellStyle name="好 3 6" xfId="912"/>
    <cellStyle name="好 3 7" xfId="915"/>
    <cellStyle name="好 4" xfId="3512"/>
    <cellStyle name="好 4 2" xfId="3362"/>
    <cellStyle name="好 5" xfId="3513"/>
    <cellStyle name="好 5 2" xfId="1726"/>
    <cellStyle name="好 6" xfId="3514"/>
    <cellStyle name="好 6 2" xfId="3516"/>
    <cellStyle name="好 7" xfId="3517"/>
    <cellStyle name="好 7 2" xfId="3518"/>
    <cellStyle name="好 8" xfId="3519"/>
    <cellStyle name="好 8 2" xfId="3520"/>
    <cellStyle name="好 9" xfId="3522"/>
    <cellStyle name="好 9 2" xfId="3524"/>
    <cellStyle name="好_~4190974" xfId="3525"/>
    <cellStyle name="好_~4190974 2" xfId="3320"/>
    <cellStyle name="好_~4190974 3" xfId="3526"/>
    <cellStyle name="好_~4190974 4" xfId="3194"/>
    <cellStyle name="好_~4190974 5" xfId="3196"/>
    <cellStyle name="好_~4190974 6" xfId="3198"/>
    <cellStyle name="好_~4190974 7" xfId="3200"/>
    <cellStyle name="好_~4190974 8" xfId="3202"/>
    <cellStyle name="好_~4190974 9" xfId="3204"/>
    <cellStyle name="好_~5676413" xfId="3528"/>
    <cellStyle name="好_~5676413 2" xfId="3"/>
    <cellStyle name="好_~5676413 3" xfId="3530"/>
    <cellStyle name="好_~5676413 4" xfId="3532"/>
    <cellStyle name="好_~5676413 5" xfId="3534"/>
    <cellStyle name="好_~5676413 6" xfId="3536"/>
    <cellStyle name="好_~5676413 7" xfId="2123"/>
    <cellStyle name="好_~5676413 8" xfId="2241"/>
    <cellStyle name="好_~5676413 9" xfId="2244"/>
    <cellStyle name="好_00省级(打印)" xfId="2766"/>
    <cellStyle name="好_00省级(打印) 2" xfId="1242"/>
    <cellStyle name="好_00省级(打印) 3" xfId="1246"/>
    <cellStyle name="好_00省级(打印) 4" xfId="1250"/>
    <cellStyle name="好_00省级(打印) 5" xfId="1254"/>
    <cellStyle name="好_00省级(打印) 6" xfId="1258"/>
    <cellStyle name="好_00省级(打印) 7" xfId="2802"/>
    <cellStyle name="好_00省级(打印) 8" xfId="2804"/>
    <cellStyle name="好_00省级(打印) 9" xfId="2806"/>
    <cellStyle name="好_00省级(定稿)" xfId="3539"/>
    <cellStyle name="好_00省级(定稿) 2" xfId="3540"/>
    <cellStyle name="好_00省级(定稿) 3" xfId="3541"/>
    <cellStyle name="好_00省级(定稿) 4" xfId="3542"/>
    <cellStyle name="好_00省级(定稿) 5" xfId="3543"/>
    <cellStyle name="好_00省级(定稿) 6" xfId="3418"/>
    <cellStyle name="好_00省级(定稿) 7" xfId="3420"/>
    <cellStyle name="好_00省级(定稿) 8" xfId="3423"/>
    <cellStyle name="好_00省级(定稿) 9" xfId="3426"/>
    <cellStyle name="好_03昭通" xfId="1861"/>
    <cellStyle name="好_03昭通 2" xfId="3545"/>
    <cellStyle name="好_03昭通 3" xfId="3106"/>
    <cellStyle name="好_03昭通 4" xfId="3547"/>
    <cellStyle name="好_03昭通 5" xfId="3548"/>
    <cellStyle name="好_03昭通 6" xfId="3549"/>
    <cellStyle name="好_03昭通 7" xfId="611"/>
    <cellStyle name="好_03昭通 8" xfId="442"/>
    <cellStyle name="好_03昭通 9" xfId="446"/>
    <cellStyle name="好_0502通海县" xfId="1473"/>
    <cellStyle name="好_0502通海县 2" xfId="3550"/>
    <cellStyle name="好_0502通海县 3" xfId="3551"/>
    <cellStyle name="好_0502通海县 4" xfId="3552"/>
    <cellStyle name="好_0502通海县 5" xfId="3553"/>
    <cellStyle name="好_0502通海县 6" xfId="1958"/>
    <cellStyle name="好_0502通海县 7" xfId="1960"/>
    <cellStyle name="好_0502通海县 8" xfId="1962"/>
    <cellStyle name="好_0502通海县 9" xfId="1964"/>
    <cellStyle name="好_05玉溪" xfId="2128"/>
    <cellStyle name="好_05玉溪 2" xfId="3342"/>
    <cellStyle name="好_05玉溪 3" xfId="3554"/>
    <cellStyle name="好_05玉溪 4" xfId="3555"/>
    <cellStyle name="好_05玉溪 5" xfId="3556"/>
    <cellStyle name="好_05玉溪 6" xfId="3557"/>
    <cellStyle name="好_05玉溪 7" xfId="3558"/>
    <cellStyle name="好_05玉溪 8" xfId="3559"/>
    <cellStyle name="好_05玉溪 9" xfId="3561"/>
    <cellStyle name="好_0605石屏县" xfId="3563"/>
    <cellStyle name="好_0605石屏县 2" xfId="3564"/>
    <cellStyle name="好_0605石屏县 3" xfId="3565"/>
    <cellStyle name="好_0605石屏县 4" xfId="3566"/>
    <cellStyle name="好_0605石屏县 5" xfId="3567"/>
    <cellStyle name="好_0605石屏县 6" xfId="1694"/>
    <cellStyle name="好_0605石屏县 7" xfId="1696"/>
    <cellStyle name="好_0605石屏县 8" xfId="1699"/>
    <cellStyle name="好_0605石屏县 9" xfId="1701"/>
    <cellStyle name="好_1003牟定县" xfId="3568"/>
    <cellStyle name="好_1003牟定县 2" xfId="3569"/>
    <cellStyle name="好_1003牟定县 3" xfId="1528"/>
    <cellStyle name="好_1003牟定县 4" xfId="1530"/>
    <cellStyle name="好_1003牟定县 5" xfId="1532"/>
    <cellStyle name="好_1003牟定县 6" xfId="1534"/>
    <cellStyle name="好_1003牟定县 7" xfId="931"/>
    <cellStyle name="好_1003牟定县 8" xfId="961"/>
    <cellStyle name="好_1003牟定县 9" xfId="978"/>
    <cellStyle name="好_1110洱源县" xfId="3570"/>
    <cellStyle name="好_1110洱源县 2" xfId="2056"/>
    <cellStyle name="好_1110洱源县 3" xfId="2067"/>
    <cellStyle name="好_1110洱源县 4" xfId="2069"/>
    <cellStyle name="好_1110洱源县 5" xfId="2071"/>
    <cellStyle name="好_1110洱源县 6" xfId="2075"/>
    <cellStyle name="好_1110洱源县 7" xfId="2078"/>
    <cellStyle name="好_1110洱源县 8" xfId="34"/>
    <cellStyle name="好_1110洱源县 9" xfId="3473"/>
    <cellStyle name="好_11大理" xfId="3133"/>
    <cellStyle name="好_11大理 2" xfId="689"/>
    <cellStyle name="好_11大理 3" xfId="3155"/>
    <cellStyle name="好_11大理 4" xfId="3158"/>
    <cellStyle name="好_11大理 5" xfId="2608"/>
    <cellStyle name="好_11大理 6" xfId="3571"/>
    <cellStyle name="好_11大理 7" xfId="3572"/>
    <cellStyle name="好_11大理 8" xfId="3573"/>
    <cellStyle name="好_11大理 9" xfId="3574"/>
    <cellStyle name="好_2、土地面积、人口、粮食产量基本情况" xfId="3575"/>
    <cellStyle name="好_2、土地面积、人口、粮食产量基本情况 2" xfId="3576"/>
    <cellStyle name="好_2、土地面积、人口、粮食产量基本情况 3" xfId="3578"/>
    <cellStyle name="好_2、土地面积、人口、粮食产量基本情况 4" xfId="3580"/>
    <cellStyle name="好_2、土地面积、人口、粮食产量基本情况 5" xfId="3583"/>
    <cellStyle name="好_2、土地面积、人口、粮食产量基本情况 6" xfId="3585"/>
    <cellStyle name="好_2、土地面积、人口、粮食产量基本情况 7" xfId="3586"/>
    <cellStyle name="好_2、土地面积、人口、粮食产量基本情况 8" xfId="934"/>
    <cellStyle name="好_2、土地面积、人口、粮食产量基本情况 9" xfId="937"/>
    <cellStyle name="好_2006年分析表" xfId="869"/>
    <cellStyle name="好_2006年基础数据" xfId="3587"/>
    <cellStyle name="好_2006年基础数据 2" xfId="3589"/>
    <cellStyle name="好_2006年基础数据 3" xfId="3590"/>
    <cellStyle name="好_2006年基础数据 4" xfId="3591"/>
    <cellStyle name="好_2006年基础数据 5" xfId="2916"/>
    <cellStyle name="好_2006年基础数据 6" xfId="3593"/>
    <cellStyle name="好_2006年基础数据 7" xfId="405"/>
    <cellStyle name="好_2006年基础数据 8" xfId="440"/>
    <cellStyle name="好_2006年基础数据 9" xfId="466"/>
    <cellStyle name="好_2006年全省财力计算表（中央、决算）" xfId="3595"/>
    <cellStyle name="好_2006年全省财力计算表（中央、决算） 2" xfId="1768"/>
    <cellStyle name="好_2006年全省财力计算表（中央、决算） 3" xfId="3596"/>
    <cellStyle name="好_2006年全省财力计算表（中央、决算） 4" xfId="3515"/>
    <cellStyle name="好_2006年全省财力计算表（中央、决算） 5" xfId="3597"/>
    <cellStyle name="好_2006年全省财力计算表（中央、决算） 6" xfId="3598"/>
    <cellStyle name="好_2006年全省财力计算表（中央、决算） 7" xfId="1145"/>
    <cellStyle name="好_2006年全省财力计算表（中央、决算） 8" xfId="3599"/>
    <cellStyle name="好_2006年全省财力计算表（中央、决算） 9" xfId="3601"/>
    <cellStyle name="好_2006年水利统计指标统计表" xfId="1818"/>
    <cellStyle name="好_2006年水利统计指标统计表 2" xfId="3602"/>
    <cellStyle name="好_2006年水利统计指标统计表 3" xfId="3603"/>
    <cellStyle name="好_2006年水利统计指标统计表 4" xfId="3605"/>
    <cellStyle name="好_2006年水利统计指标统计表 5" xfId="3607"/>
    <cellStyle name="好_2006年水利统计指标统计表 6" xfId="3609"/>
    <cellStyle name="好_2006年水利统计指标统计表 7" xfId="3611"/>
    <cellStyle name="好_2006年水利统计指标统计表 8" xfId="3613"/>
    <cellStyle name="好_2006年水利统计指标统计表 9" xfId="3616"/>
    <cellStyle name="好_2006年在职人员情况" xfId="198"/>
    <cellStyle name="好_2006年在职人员情况 2" xfId="3618"/>
    <cellStyle name="好_2006年在职人员情况 3" xfId="3620"/>
    <cellStyle name="好_2006年在职人员情况 4" xfId="3622"/>
    <cellStyle name="好_2006年在职人员情况 5" xfId="3624"/>
    <cellStyle name="好_2006年在职人员情况 6" xfId="3489"/>
    <cellStyle name="好_2006年在职人员情况 7" xfId="3492"/>
    <cellStyle name="好_2006年在职人员情况 8" xfId="3495"/>
    <cellStyle name="好_2006年在职人员情况 9" xfId="3497"/>
    <cellStyle name="好_2007年检察院案件数" xfId="3625"/>
    <cellStyle name="好_2007年检察院案件数 2" xfId="3626"/>
    <cellStyle name="好_2007年检察院案件数 3" xfId="3332"/>
    <cellStyle name="好_2007年检察院案件数 4" xfId="3334"/>
    <cellStyle name="好_2007年检察院案件数 5" xfId="1628"/>
    <cellStyle name="好_2007年检察院案件数 6" xfId="1631"/>
    <cellStyle name="好_2007年检察院案件数 7" xfId="1635"/>
    <cellStyle name="好_2007年检察院案件数 8" xfId="1639"/>
    <cellStyle name="好_2007年检察院案件数 9" xfId="1643"/>
    <cellStyle name="好_2007年可用财力" xfId="3628"/>
    <cellStyle name="好_2007年人员分部门统计表" xfId="3629"/>
    <cellStyle name="好_2007年人员分部门统计表 2" xfId="3630"/>
    <cellStyle name="好_2007年人员分部门统计表 3" xfId="3631"/>
    <cellStyle name="好_2007年人员分部门统计表 4" xfId="675"/>
    <cellStyle name="好_2007年人员分部门统计表 5" xfId="560"/>
    <cellStyle name="好_2007年人员分部门统计表 6" xfId="564"/>
    <cellStyle name="好_2007年人员分部门统计表 7" xfId="567"/>
    <cellStyle name="好_2007年人员分部门统计表 8" xfId="570"/>
    <cellStyle name="好_2007年人员分部门统计表 9" xfId="574"/>
    <cellStyle name="好_2007年政法部门业务指标" xfId="838"/>
    <cellStyle name="好_2007年政法部门业务指标 2" xfId="840"/>
    <cellStyle name="好_2007年政法部门业务指标 3" xfId="2645"/>
    <cellStyle name="好_2007年政法部门业务指标 4" xfId="2649"/>
    <cellStyle name="好_2007年政法部门业务指标 5" xfId="2653"/>
    <cellStyle name="好_2007年政法部门业务指标 6" xfId="2657"/>
    <cellStyle name="好_2007年政法部门业务指标 7" xfId="399"/>
    <cellStyle name="好_2007年政法部门业务指标 8" xfId="2664"/>
    <cellStyle name="好_2007年政法部门业务指标 9" xfId="2901"/>
    <cellStyle name="好_2008年县级公安保障标准落实奖励经费分配测算" xfId="3018"/>
    <cellStyle name="好_2008云南省分县市中小学教职工统计表（教育厅提供）" xfId="429"/>
    <cellStyle name="好_2008云南省分县市中小学教职工统计表（教育厅提供） 2" xfId="608"/>
    <cellStyle name="好_2008云南省分县市中小学教职工统计表（教育厅提供） 3" xfId="2615"/>
    <cellStyle name="好_2008云南省分县市中小学教职工统计表（教育厅提供） 4" xfId="3632"/>
    <cellStyle name="好_2008云南省分县市中小学教职工统计表（教育厅提供） 5" xfId="3633"/>
    <cellStyle name="好_2008云南省分县市中小学教职工统计表（教育厅提供） 6" xfId="3634"/>
    <cellStyle name="好_2008云南省分县市中小学教职工统计表（教育厅提供） 7" xfId="3636"/>
    <cellStyle name="好_2008云南省分县市中小学教职工统计表（教育厅提供） 8" xfId="3538"/>
    <cellStyle name="好_2008云南省分县市中小学教职工统计表（教育厅提供） 9" xfId="3637"/>
    <cellStyle name="好_2009年一般性转移支付标准工资" xfId="3638"/>
    <cellStyle name="好_2009年一般性转移支付标准工资 2" xfId="3639"/>
    <cellStyle name="好_2009年一般性转移支付标准工资 3" xfId="326"/>
    <cellStyle name="好_2009年一般性转移支付标准工资 4" xfId="3640"/>
    <cellStyle name="好_2009年一般性转移支付标准工资 5" xfId="3641"/>
    <cellStyle name="好_2009年一般性转移支付标准工资 6" xfId="745"/>
    <cellStyle name="好_2009年一般性转移支付标准工资 7" xfId="747"/>
    <cellStyle name="好_2009年一般性转移支付标准工资 8" xfId="621"/>
    <cellStyle name="好_2009年一般性转移支付标准工资 9" xfId="749"/>
    <cellStyle name="好_2009年一般性转移支付标准工资_~4190974" xfId="1388"/>
    <cellStyle name="好_2009年一般性转移支付标准工资_~4190974 2" xfId="1391"/>
    <cellStyle name="好_2009年一般性转移支付标准工资_~4190974 3" xfId="1395"/>
    <cellStyle name="好_2009年一般性转移支付标准工资_~4190974 4" xfId="1399"/>
    <cellStyle name="好_2009年一般性转移支付标准工资_~4190974 5" xfId="1401"/>
    <cellStyle name="好_2009年一般性转移支付标准工资_~4190974 6" xfId="1403"/>
    <cellStyle name="好_2009年一般性转移支付标准工资_~4190974 7" xfId="1405"/>
    <cellStyle name="好_2009年一般性转移支付标准工资_~4190974 8" xfId="1408"/>
    <cellStyle name="好_2009年一般性转移支付标准工资_~4190974 9" xfId="1411"/>
    <cellStyle name="好_2009年一般性转移支付标准工资_~5676413" xfId="3642"/>
    <cellStyle name="好_2009年一般性转移支付标准工资_~5676413 2" xfId="3643"/>
    <cellStyle name="好_2009年一般性转移支付标准工资_~5676413 3" xfId="3644"/>
    <cellStyle name="好_2009年一般性转移支付标准工资_~5676413 4" xfId="3645"/>
    <cellStyle name="好_2009年一般性转移支付标准工资_~5676413 5" xfId="3646"/>
    <cellStyle name="好_2009年一般性转移支付标准工资_~5676413 6" xfId="3647"/>
    <cellStyle name="好_2009年一般性转移支付标准工资_~5676413 7" xfId="3648"/>
    <cellStyle name="好_2009年一般性转移支付标准工资_~5676413 8" xfId="3649"/>
    <cellStyle name="好_2009年一般性转移支付标准工资_~5676413 9" xfId="3650"/>
    <cellStyle name="好_2009年一般性转移支付标准工资_不用软件计算9.1不考虑经费管理评价xl" xfId="2117"/>
    <cellStyle name="好_2009年一般性转移支付标准工资_不用软件计算9.1不考虑经费管理评价xl 2" xfId="1887"/>
    <cellStyle name="好_2009年一般性转移支付标准工资_不用软件计算9.1不考虑经费管理评价xl 3" xfId="3652"/>
    <cellStyle name="好_2009年一般性转移支付标准工资_不用软件计算9.1不考虑经费管理评价xl 4" xfId="3654"/>
    <cellStyle name="好_2009年一般性转移支付标准工资_不用软件计算9.1不考虑经费管理评价xl 5" xfId="3656"/>
    <cellStyle name="好_2009年一般性转移支付标准工资_不用软件计算9.1不考虑经费管理评价xl 6" xfId="3658"/>
    <cellStyle name="好_2009年一般性转移支付标准工资_不用软件计算9.1不考虑经费管理评价xl 7" xfId="3660"/>
    <cellStyle name="好_2009年一般性转移支付标准工资_不用软件计算9.1不考虑经费管理评价xl 8" xfId="3661"/>
    <cellStyle name="好_2009年一般性转移支付标准工资_不用软件计算9.1不考虑经费管理评价xl 9" xfId="3662"/>
    <cellStyle name="好_2009年一般性转移支付标准工资_地方配套按人均增幅控制8.30xl" xfId="3663"/>
    <cellStyle name="好_2009年一般性转移支付标准工资_地方配套按人均增幅控制8.30xl 2" xfId="3664"/>
    <cellStyle name="好_2009年一般性转移支付标准工资_地方配套按人均增幅控制8.30xl 3" xfId="3665"/>
    <cellStyle name="好_2009年一般性转移支付标准工资_地方配套按人均增幅控制8.30xl 4" xfId="2612"/>
    <cellStyle name="好_2009年一般性转移支付标准工资_地方配套按人均增幅控制8.30xl 5" xfId="3666"/>
    <cellStyle name="好_2009年一般性转移支付标准工资_地方配套按人均增幅控制8.30xl 6" xfId="3667"/>
    <cellStyle name="好_2009年一般性转移支付标准工资_地方配套按人均增幅控制8.30xl 7" xfId="3668"/>
    <cellStyle name="好_2009年一般性转移支付标准工资_地方配套按人均增幅控制8.30xl 8" xfId="3669"/>
    <cellStyle name="好_2009年一般性转移支付标准工资_地方配套按人均增幅控制8.30xl 9" xfId="3670"/>
    <cellStyle name="好_2009年一般性转移支付标准工资_地方配套按人均增幅控制8.30一般预算平均增幅、人均可用财力平均增幅两次控制、社会治安系数调整、案件数调整xl" xfId="3671"/>
    <cellStyle name="好_2009年一般性转移支付标准工资_地方配套按人均增幅控制8.30一般预算平均增幅、人均可用财力平均增幅两次控制、社会治安系数调整、案件数调整xl 2" xfId="3674"/>
    <cellStyle name="好_2009年一般性转移支付标准工资_地方配套按人均增幅控制8.30一般预算平均增幅、人均可用财力平均增幅两次控制、社会治安系数调整、案件数调整xl 3" xfId="3677"/>
    <cellStyle name="好_2009年一般性转移支付标准工资_地方配套按人均增幅控制8.30一般预算平均增幅、人均可用财力平均增幅两次控制、社会治安系数调整、案件数调整xl 4" xfId="1113"/>
    <cellStyle name="好_2009年一般性转移支付标准工资_地方配套按人均增幅控制8.30一般预算平均增幅、人均可用财力平均增幅两次控制、社会治安系数调整、案件数调整xl 5" xfId="1117"/>
    <cellStyle name="好_2009年一般性转移支付标准工资_地方配套按人均增幅控制8.30一般预算平均增幅、人均可用财力平均增幅两次控制、社会治安系数调整、案件数调整xl 6" xfId="1135"/>
    <cellStyle name="好_2009年一般性转移支付标准工资_地方配套按人均增幅控制8.30一般预算平均增幅、人均可用财力平均增幅两次控制、社会治安系数调整、案件数调整xl 7" xfId="1143"/>
    <cellStyle name="好_2009年一般性转移支付标准工资_地方配套按人均增幅控制8.30一般预算平均增幅、人均可用财力平均增幅两次控制、社会治安系数调整、案件数调整xl 8" xfId="1149"/>
    <cellStyle name="好_2009年一般性转移支付标准工资_地方配套按人均增幅控制8.30一般预算平均增幅、人均可用财力平均增幅两次控制、社会治安系数调整、案件数调整xl 9" xfId="1154"/>
    <cellStyle name="好_2009年一般性转移支付标准工资_地方配套按人均增幅控制8.31（调整结案率后）xl" xfId="925"/>
    <cellStyle name="好_2009年一般性转移支付标准工资_地方配套按人均增幅控制8.31（调整结案率后）xl 2" xfId="929"/>
    <cellStyle name="好_2009年一般性转移支付标准工资_地方配套按人均增幅控制8.31（调整结案率后）xl 3" xfId="3680"/>
    <cellStyle name="好_2009年一般性转移支付标准工资_地方配套按人均增幅控制8.31（调整结案率后）xl 4" xfId="3683"/>
    <cellStyle name="好_2009年一般性转移支付标准工资_地方配套按人均增幅控制8.31（调整结案率后）xl 5" xfId="3686"/>
    <cellStyle name="好_2009年一般性转移支付标准工资_地方配套按人均增幅控制8.31（调整结案率后）xl 6" xfId="3689"/>
    <cellStyle name="好_2009年一般性转移支付标准工资_地方配套按人均增幅控制8.31（调整结案率后）xl 7" xfId="148"/>
    <cellStyle name="好_2009年一般性转移支付标准工资_地方配套按人均增幅控制8.31（调整结案率后）xl 8" xfId="155"/>
    <cellStyle name="好_2009年一般性转移支付标准工资_地方配套按人均增幅控制8.31（调整结案率后）xl 9" xfId="163"/>
    <cellStyle name="好_2009年一般性转移支付标准工资_奖励补助测算5.22测试" xfId="2568"/>
    <cellStyle name="好_2009年一般性转移支付标准工资_奖励补助测算5.22测试 2" xfId="1344"/>
    <cellStyle name="好_2009年一般性转移支付标准工资_奖励补助测算5.22测试 3" xfId="1433"/>
    <cellStyle name="好_2009年一般性转移支付标准工资_奖励补助测算5.22测试 4" xfId="1514"/>
    <cellStyle name="好_2009年一般性转移支付标准工资_奖励补助测算5.22测试 5" xfId="1573"/>
    <cellStyle name="好_2009年一般性转移支付标准工资_奖励补助测算5.22测试 6" xfId="3266"/>
    <cellStyle name="好_2009年一般性转移支付标准工资_奖励补助测算5.22测试 7" xfId="3268"/>
    <cellStyle name="好_2009年一般性转移支付标准工资_奖励补助测算5.22测试 8" xfId="3270"/>
    <cellStyle name="好_2009年一般性转移支付标准工资_奖励补助测算5.22测试 9" xfId="3272"/>
    <cellStyle name="好_2009年一般性转移支付标准工资_奖励补助测算5.23新" xfId="3690"/>
    <cellStyle name="好_2009年一般性转移支付标准工资_奖励补助测算5.23新 2" xfId="1883"/>
    <cellStyle name="好_2009年一般性转移支付标准工资_奖励补助测算5.23新 3" xfId="3691"/>
    <cellStyle name="好_2009年一般性转移支付标准工资_奖励补助测算5.23新 4" xfId="3692"/>
    <cellStyle name="好_2009年一般性转移支付标准工资_奖励补助测算5.23新 5" xfId="3693"/>
    <cellStyle name="好_2009年一般性转移支付标准工资_奖励补助测算5.23新 6" xfId="3027"/>
    <cellStyle name="好_2009年一般性转移支付标准工资_奖励补助测算5.23新 7" xfId="3694"/>
    <cellStyle name="好_2009年一般性转移支付标准工资_奖励补助测算5.23新 8" xfId="3695"/>
    <cellStyle name="好_2009年一般性转移支付标准工资_奖励补助测算5.23新 9" xfId="3696"/>
    <cellStyle name="好_2009年一般性转移支付标准工资_奖励补助测算5.24冯铸" xfId="3697"/>
    <cellStyle name="好_2009年一般性转移支付标准工资_奖励补助测算5.24冯铸 2" xfId="3698"/>
    <cellStyle name="好_2009年一般性转移支付标准工资_奖励补助测算5.24冯铸 3" xfId="3699"/>
    <cellStyle name="好_2009年一般性转移支付标准工资_奖励补助测算5.24冯铸 4" xfId="3700"/>
    <cellStyle name="好_2009年一般性转移支付标准工资_奖励补助测算5.24冯铸 5" xfId="671"/>
    <cellStyle name="好_2009年一般性转移支付标准工资_奖励补助测算5.24冯铸 6" xfId="3233"/>
    <cellStyle name="好_2009年一般性转移支付标准工资_奖励补助测算5.24冯铸 7" xfId="3701"/>
    <cellStyle name="好_2009年一般性转移支付标准工资_奖励补助测算5.24冯铸 8" xfId="3702"/>
    <cellStyle name="好_2009年一般性转移支付标准工资_奖励补助测算5.24冯铸 9" xfId="3704"/>
    <cellStyle name="好_2009年一般性转移支付标准工资_奖励补助测算7.23" xfId="3705"/>
    <cellStyle name="好_2009年一般性转移支付标准工资_奖励补助测算7.23 2" xfId="957"/>
    <cellStyle name="好_2009年一般性转移支付标准工资_奖励补助测算7.23 3" xfId="3287"/>
    <cellStyle name="好_2009年一般性转移支付标准工资_奖励补助测算7.23 4" xfId="3706"/>
    <cellStyle name="好_2009年一般性转移支付标准工资_奖励补助测算7.23 5" xfId="1535"/>
    <cellStyle name="好_2009年一般性转移支付标准工资_奖励补助测算7.23 6" xfId="3707"/>
    <cellStyle name="好_2009年一般性转移支付标准工资_奖励补助测算7.23 7" xfId="3708"/>
    <cellStyle name="好_2009年一般性转移支付标准工资_奖励补助测算7.23 8" xfId="3709"/>
    <cellStyle name="好_2009年一般性转移支付标准工资_奖励补助测算7.23 9" xfId="3710"/>
    <cellStyle name="好_2009年一般性转移支付标准工资_奖励补助测算7.25" xfId="1101"/>
    <cellStyle name="好_2009年一般性转移支付标准工资_奖励补助测算7.25 (version 1) (version 1)" xfId="3711"/>
    <cellStyle name="好_2009年一般性转移支付标准工资_奖励补助测算7.25 (version 1) (version 1) 2" xfId="3712"/>
    <cellStyle name="好_2009年一般性转移支付标准工资_奖励补助测算7.25 (version 1) (version 1) 3" xfId="3713"/>
    <cellStyle name="好_2009年一般性转移支付标准工资_奖励补助测算7.25 (version 1) (version 1) 4" xfId="3714"/>
    <cellStyle name="好_2009年一般性转移支付标准工资_奖励补助测算7.25 (version 1) (version 1) 5" xfId="3715"/>
    <cellStyle name="好_2009年一般性转移支付标准工资_奖励补助测算7.25 (version 1) (version 1) 6" xfId="3716"/>
    <cellStyle name="好_2009年一般性转移支付标准工资_奖励补助测算7.25 (version 1) (version 1) 7" xfId="910"/>
    <cellStyle name="好_2009年一般性转移支付标准工资_奖励补助测算7.25 (version 1) (version 1) 8" xfId="3717"/>
    <cellStyle name="好_2009年一般性转移支付标准工资_奖励补助测算7.25 (version 1) (version 1) 9" xfId="3718"/>
    <cellStyle name="好_2009年一般性转移支付标准工资_奖励补助测算7.25 2" xfId="987"/>
    <cellStyle name="好_2009年一般性转移支付标准工资_奖励补助测算7.25 3" xfId="3719"/>
    <cellStyle name="好_2009年一般性转移支付标准工资_奖励补助测算7.25 4" xfId="3720"/>
    <cellStyle name="好_2009年一般性转移支付标准工资_奖励补助测算7.25 5" xfId="402"/>
    <cellStyle name="好_2009年一般性转移支付标准工资_奖励补助测算7.25 6" xfId="252"/>
    <cellStyle name="好_2009年一般性转移支付标准工资_奖励补助测算7.25 7" xfId="3721"/>
    <cellStyle name="好_2009年一般性转移支付标准工资_奖励补助测算7.25 8" xfId="3722"/>
    <cellStyle name="好_2009年一般性转移支付标准工资_奖励补助测算7.25 9" xfId="3723"/>
    <cellStyle name="好_530623_2006年县级财政报表附表" xfId="3724"/>
    <cellStyle name="好_530623_2006年县级财政报表附表 2" xfId="288"/>
    <cellStyle name="好_530623_2006年县级财政报表附表 3" xfId="317"/>
    <cellStyle name="好_530623_2006年县级财政报表附表 4" xfId="319"/>
    <cellStyle name="好_530623_2006年县级财政报表附表 5" xfId="321"/>
    <cellStyle name="好_530623_2006年县级财政报表附表 6" xfId="324"/>
    <cellStyle name="好_530623_2006年县级财政报表附表 7" xfId="328"/>
    <cellStyle name="好_530623_2006年县级财政报表附表 8" xfId="3725"/>
    <cellStyle name="好_530623_2006年县级财政报表附表 9" xfId="3726"/>
    <cellStyle name="好_530629_2006年县级财政报表附表" xfId="3727"/>
    <cellStyle name="好_530629_2006年县级财政报表附表 2" xfId="3728"/>
    <cellStyle name="好_530629_2006年县级财政报表附表 3" xfId="3729"/>
    <cellStyle name="好_530629_2006年县级财政报表附表 4" xfId="3730"/>
    <cellStyle name="好_530629_2006年县级财政报表附表 5" xfId="3731"/>
    <cellStyle name="好_530629_2006年县级财政报表附表 6" xfId="2187"/>
    <cellStyle name="好_530629_2006年县级财政报表附表 7" xfId="3732"/>
    <cellStyle name="好_530629_2006年县级财政报表附表 8" xfId="3733"/>
    <cellStyle name="好_530629_2006年县级财政报表附表 9" xfId="3734"/>
    <cellStyle name="好_5334_2006年迪庆县级财政报表附表" xfId="340"/>
    <cellStyle name="好_5334_2006年迪庆县级财政报表附表 2" xfId="2414"/>
    <cellStyle name="好_5334_2006年迪庆县级财政报表附表 3" xfId="2422"/>
    <cellStyle name="好_5334_2006年迪庆县级财政报表附表 4" xfId="2425"/>
    <cellStyle name="好_5334_2006年迪庆县级财政报表附表 5" xfId="2428"/>
    <cellStyle name="好_5334_2006年迪庆县级财政报表附表 6" xfId="2431"/>
    <cellStyle name="好_5334_2006年迪庆县级财政报表附表 7" xfId="2434"/>
    <cellStyle name="好_5334_2006年迪庆县级财政报表附表 8" xfId="3735"/>
    <cellStyle name="好_5334_2006年迪庆县级财政报表附表 9" xfId="3672"/>
    <cellStyle name="好_Book1" xfId="2556"/>
    <cellStyle name="好_Book1 2" xfId="3736"/>
    <cellStyle name="好_Book1 3" xfId="3737"/>
    <cellStyle name="好_Book1 4" xfId="3437"/>
    <cellStyle name="好_Book1 5" xfId="3439"/>
    <cellStyle name="好_Book1 6" xfId="3504"/>
    <cellStyle name="好_Book1 7" xfId="3738"/>
    <cellStyle name="好_Book1 8" xfId="3739"/>
    <cellStyle name="好_Book1 9" xfId="3740"/>
    <cellStyle name="好_Book1_1" xfId="3405"/>
    <cellStyle name="好_Book1_1 2" xfId="3741"/>
    <cellStyle name="好_Book1_1 3" xfId="3742"/>
    <cellStyle name="好_Book1_1 4" xfId="3743"/>
    <cellStyle name="好_Book1_1 5" xfId="3744"/>
    <cellStyle name="好_Book1_1 6" xfId="15"/>
    <cellStyle name="好_Book1_1 7" xfId="3745"/>
    <cellStyle name="好_Book1_1 8" xfId="666"/>
    <cellStyle name="好_Book1_1 9" xfId="540"/>
    <cellStyle name="好_Book2" xfId="2561"/>
    <cellStyle name="好_Book2 2" xfId="3746"/>
    <cellStyle name="好_Book2 3" xfId="3747"/>
    <cellStyle name="好_Book2 4" xfId="3748"/>
    <cellStyle name="好_Book2 5" xfId="3749"/>
    <cellStyle name="好_Book2 6" xfId="3751"/>
    <cellStyle name="好_Book2 7" xfId="3752"/>
    <cellStyle name="好_Book2 8" xfId="3753"/>
    <cellStyle name="好_Book2 9" xfId="3754"/>
    <cellStyle name="好_M01-2(州市补助收入)" xfId="1711"/>
    <cellStyle name="好_M01-2(州市补助收入) 2" xfId="2365"/>
    <cellStyle name="好_M01-2(州市补助收入) 3" xfId="2368"/>
    <cellStyle name="好_M01-2(州市补助收入) 4" xfId="2370"/>
    <cellStyle name="好_M01-2(州市补助收入) 5" xfId="2890"/>
    <cellStyle name="好_M01-2(州市补助收入) 6" xfId="1680"/>
    <cellStyle name="好_M01-2(州市补助收入) 7" xfId="2892"/>
    <cellStyle name="好_M01-2(州市补助收入) 8" xfId="2894"/>
    <cellStyle name="好_M01-2(州市补助收入) 9" xfId="2896"/>
    <cellStyle name="好_M03" xfId="3756"/>
    <cellStyle name="好_M03 2" xfId="369"/>
    <cellStyle name="好_M03 3" xfId="372"/>
    <cellStyle name="好_M03 4" xfId="375"/>
    <cellStyle name="好_M03 5" xfId="378"/>
    <cellStyle name="好_M03 6" xfId="381"/>
    <cellStyle name="好_M03 7" xfId="388"/>
    <cellStyle name="好_M03 8" xfId="352"/>
    <cellStyle name="好_M03 9" xfId="365"/>
    <cellStyle name="好_不用软件计算9.1不考虑经费管理评价xl" xfId="3635"/>
    <cellStyle name="好_不用软件计算9.1不考虑经费管理评价xl 2" xfId="2003"/>
    <cellStyle name="好_不用软件计算9.1不考虑经费管理评价xl 3" xfId="2006"/>
    <cellStyle name="好_不用软件计算9.1不考虑经费管理评价xl 4" xfId="2009"/>
    <cellStyle name="好_不用软件计算9.1不考虑经费管理评价xl 5" xfId="2012"/>
    <cellStyle name="好_不用软件计算9.1不考虑经费管理评价xl 6" xfId="239"/>
    <cellStyle name="好_不用软件计算9.1不考虑经费管理评价xl 7" xfId="2016"/>
    <cellStyle name="好_不用软件计算9.1不考虑经费管理评价xl 8" xfId="2021"/>
    <cellStyle name="好_不用软件计算9.1不考虑经费管理评价xl 9" xfId="2026"/>
    <cellStyle name="好_财政供养人员" xfId="2074"/>
    <cellStyle name="好_财政供养人员 2" xfId="3757"/>
    <cellStyle name="好_财政供养人员 3" xfId="3758"/>
    <cellStyle name="好_财政供养人员 4" xfId="3759"/>
    <cellStyle name="好_财政供养人员 5" xfId="3760"/>
    <cellStyle name="好_财政供养人员 6" xfId="3577"/>
    <cellStyle name="好_财政供养人员 7" xfId="3579"/>
    <cellStyle name="好_财政供养人员 8" xfId="3581"/>
    <cellStyle name="好_财政供养人员 9" xfId="3584"/>
    <cellStyle name="好_财政支出对上级的依赖程度" xfId="3761"/>
    <cellStyle name="好_城建部门" xfId="3762"/>
    <cellStyle name="好_地方配套按人均增幅控制8.30xl" xfId="3766"/>
    <cellStyle name="好_地方配套按人均增幅控制8.30xl 2" xfId="2145"/>
    <cellStyle name="好_地方配套按人均增幅控制8.30xl 3" xfId="2165"/>
    <cellStyle name="好_地方配套按人均增幅控制8.30xl 4" xfId="2181"/>
    <cellStyle name="好_地方配套按人均增幅控制8.30xl 5" xfId="2183"/>
    <cellStyle name="好_地方配套按人均增幅控制8.30xl 6" xfId="2185"/>
    <cellStyle name="好_地方配套按人均增幅控制8.30xl 7" xfId="1390"/>
    <cellStyle name="好_地方配套按人均增幅控制8.30xl 8" xfId="1394"/>
    <cellStyle name="好_地方配套按人均增幅控制8.30xl 9" xfId="1398"/>
    <cellStyle name="好_地方配套按人均增幅控制8.30一般预算平均增幅、人均可用财力平均增幅两次控制、社会治安系数调整、案件数调整xl" xfId="3767"/>
    <cellStyle name="好_地方配套按人均增幅控制8.30一般预算平均增幅、人均可用财力平均增幅两次控制、社会治安系数调整、案件数调整xl 2" xfId="3560"/>
    <cellStyle name="好_地方配套按人均增幅控制8.30一般预算平均增幅、人均可用财力平均增幅两次控制、社会治安系数调整、案件数调整xl 3" xfId="3562"/>
    <cellStyle name="好_地方配套按人均增幅控制8.30一般预算平均增幅、人均可用财力平均增幅两次控制、社会治安系数调整、案件数调整xl 4" xfId="3768"/>
    <cellStyle name="好_地方配套按人均增幅控制8.30一般预算平均增幅、人均可用财力平均增幅两次控制、社会治安系数调整、案件数调整xl 5" xfId="3769"/>
    <cellStyle name="好_地方配套按人均增幅控制8.30一般预算平均增幅、人均可用财力平均增幅两次控制、社会治安系数调整、案件数调整xl 6" xfId="3770"/>
    <cellStyle name="好_地方配套按人均增幅控制8.30一般预算平均增幅、人均可用财力平均增幅两次控制、社会治安系数调整、案件数调整xl 7" xfId="3771"/>
    <cellStyle name="好_地方配套按人均增幅控制8.30一般预算平均增幅、人均可用财力平均增幅两次控制、社会治安系数调整、案件数调整xl 8" xfId="87"/>
    <cellStyle name="好_地方配套按人均增幅控制8.30一般预算平均增幅、人均可用财力平均增幅两次控制、社会治安系数调整、案件数调整xl 9" xfId="91"/>
    <cellStyle name="好_地方配套按人均增幅控制8.31（调整结案率后）xl" xfId="3179"/>
    <cellStyle name="好_地方配套按人均增幅控制8.31（调整结案率后）xl 2" xfId="1487"/>
    <cellStyle name="好_地方配套按人均增幅控制8.31（调整结案率后）xl 3" xfId="1492"/>
    <cellStyle name="好_地方配套按人均增幅控制8.31（调整结案率后）xl 4" xfId="1497"/>
    <cellStyle name="好_地方配套按人均增幅控制8.31（调整结案率后）xl 5" xfId="1502"/>
    <cellStyle name="好_地方配套按人均增幅控制8.31（调整结案率后）xl 6" xfId="1507"/>
    <cellStyle name="好_地方配套按人均增幅控制8.31（调整结案率后）xl 7" xfId="1912"/>
    <cellStyle name="好_地方配套按人均增幅控制8.31（调整结案率后）xl 8" xfId="1919"/>
    <cellStyle name="好_地方配套按人均增幅控制8.31（调整结案率后）xl 9" xfId="1224"/>
    <cellStyle name="好_第五部分(才淼、饶永宏）" xfId="3462"/>
    <cellStyle name="好_第五部分(才淼、饶永宏） 2" xfId="3485"/>
    <cellStyle name="好_第五部分(才淼、饶永宏） 3" xfId="3501"/>
    <cellStyle name="好_第五部分(才淼、饶永宏） 4" xfId="3772"/>
    <cellStyle name="好_第五部分(才淼、饶永宏） 5" xfId="3773"/>
    <cellStyle name="好_第五部分(才淼、饶永宏） 6" xfId="3774"/>
    <cellStyle name="好_第五部分(才淼、饶永宏） 7" xfId="3775"/>
    <cellStyle name="好_第五部分(才淼、饶永宏） 8" xfId="3776"/>
    <cellStyle name="好_第五部分(才淼、饶永宏） 9" xfId="2102"/>
    <cellStyle name="好_第一部分：综合全" xfId="2743"/>
    <cellStyle name="好_高中教师人数（教育厅1.6日提供）" xfId="3529"/>
    <cellStyle name="好_高中教师人数（教育厅1.6日提供） 2" xfId="4"/>
    <cellStyle name="好_高中教师人数（教育厅1.6日提供） 3" xfId="3531"/>
    <cellStyle name="好_高中教师人数（教育厅1.6日提供） 4" xfId="3533"/>
    <cellStyle name="好_高中教师人数（教育厅1.6日提供） 5" xfId="3535"/>
    <cellStyle name="好_高中教师人数（教育厅1.6日提供） 6" xfId="3537"/>
    <cellStyle name="好_高中教师人数（教育厅1.6日提供） 7" xfId="2124"/>
    <cellStyle name="好_高中教师人数（教育厅1.6日提供） 8" xfId="2242"/>
    <cellStyle name="好_高中教师人数（教育厅1.6日提供） 9" xfId="2245"/>
    <cellStyle name="好_汇总" xfId="3777"/>
    <cellStyle name="好_汇总 2" xfId="760"/>
    <cellStyle name="好_汇总 3" xfId="3778"/>
    <cellStyle name="好_汇总 4" xfId="3779"/>
    <cellStyle name="好_汇总 5" xfId="3780"/>
    <cellStyle name="好_汇总 6" xfId="3781"/>
    <cellStyle name="好_汇总 7" xfId="3782"/>
    <cellStyle name="好_汇总 8" xfId="233"/>
    <cellStyle name="好_汇总 9" xfId="3521"/>
    <cellStyle name="好_汇总-县级财政报表附表" xfId="244"/>
    <cellStyle name="好_汇总-县级财政报表附表 2" xfId="699"/>
    <cellStyle name="好_汇总-县级财政报表附表 3" xfId="743"/>
    <cellStyle name="好_汇总-县级财政报表附表 4" xfId="694"/>
    <cellStyle name="好_汇总-县级财政报表附表 5" xfId="762"/>
    <cellStyle name="好_汇总-县级财政报表附表 6" xfId="769"/>
    <cellStyle name="好_汇总-县级财政报表附表 7" xfId="774"/>
    <cellStyle name="好_汇总-县级财政报表附表 8" xfId="3783"/>
    <cellStyle name="好_汇总-县级财政报表附表 9" xfId="3785"/>
    <cellStyle name="好_基础数据分析" xfId="3787"/>
    <cellStyle name="好_基础数据分析 2" xfId="3788"/>
    <cellStyle name="好_基础数据分析 3" xfId="3790"/>
    <cellStyle name="好_基础数据分析 4" xfId="3791"/>
    <cellStyle name="好_基础数据分析 5" xfId="3792"/>
    <cellStyle name="好_基础数据分析 6" xfId="3793"/>
    <cellStyle name="好_基础数据分析 7" xfId="3794"/>
    <cellStyle name="好_基础数据分析 8" xfId="3796"/>
    <cellStyle name="好_基础数据分析 9" xfId="3797"/>
    <cellStyle name="好_检验表" xfId="2238"/>
    <cellStyle name="好_检验表（调整后）" xfId="3582"/>
    <cellStyle name="好_奖励补助测算5.22测试" xfId="754"/>
    <cellStyle name="好_奖励补助测算5.22测试 2" xfId="706"/>
    <cellStyle name="好_奖励补助测算5.22测试 3" xfId="47"/>
    <cellStyle name="好_奖励补助测算5.22测试 4" xfId="714"/>
    <cellStyle name="好_奖励补助测算5.22测试 5" xfId="719"/>
    <cellStyle name="好_奖励补助测算5.22测试 6" xfId="725"/>
    <cellStyle name="好_奖励补助测算5.22测试 7" xfId="731"/>
    <cellStyle name="好_奖励补助测算5.22测试 8" xfId="738"/>
    <cellStyle name="好_奖励补助测算5.22测试 9" xfId="1717"/>
    <cellStyle name="好_奖励补助测算5.23新" xfId="3360"/>
    <cellStyle name="好_奖励补助测算5.23新 2" xfId="2139"/>
    <cellStyle name="好_奖励补助测算5.23新 3" xfId="2142"/>
    <cellStyle name="好_奖励补助测算5.23新 4" xfId="2147"/>
    <cellStyle name="好_奖励补助测算5.23新 5" xfId="2150"/>
    <cellStyle name="好_奖励补助测算5.23新 6" xfId="2153"/>
    <cellStyle name="好_奖励补助测算5.23新 7" xfId="2157"/>
    <cellStyle name="好_奖励补助测算5.23新 8" xfId="2161"/>
    <cellStyle name="好_奖励补助测算5.23新 9" xfId="2168"/>
    <cellStyle name="好_奖励补助测算5.24冯铸" xfId="3798"/>
    <cellStyle name="好_奖励补助测算5.24冯铸 2" xfId="2671"/>
    <cellStyle name="好_奖励补助测算5.24冯铸 3" xfId="2682"/>
    <cellStyle name="好_奖励补助测算5.24冯铸 4" xfId="2687"/>
    <cellStyle name="好_奖励补助测算5.24冯铸 5" xfId="2692"/>
    <cellStyle name="好_奖励补助测算5.24冯铸 6" xfId="2697"/>
    <cellStyle name="好_奖励补助测算5.24冯铸 7" xfId="2702"/>
    <cellStyle name="好_奖励补助测算5.24冯铸 8" xfId="2707"/>
    <cellStyle name="好_奖励补助测算5.24冯铸 9" xfId="3799"/>
    <cellStyle name="好_奖励补助测算7.23" xfId="2417"/>
    <cellStyle name="好_奖励补助测算7.23 2" xfId="3800"/>
    <cellStyle name="好_奖励补助测算7.23 3" xfId="3801"/>
    <cellStyle name="好_奖励补助测算7.23 4" xfId="3802"/>
    <cellStyle name="好_奖励补助测算7.23 5" xfId="3803"/>
    <cellStyle name="好_奖励补助测算7.23 6" xfId="3804"/>
    <cellStyle name="好_奖励补助测算7.23 7" xfId="3805"/>
    <cellStyle name="好_奖励补助测算7.23 8" xfId="3806"/>
    <cellStyle name="好_奖励补助测算7.23 9" xfId="1075"/>
    <cellStyle name="好_奖励补助测算7.25" xfId="1170"/>
    <cellStyle name="好_奖励补助测算7.25 (version 1) (version 1)" xfId="3807"/>
    <cellStyle name="好_奖励补助测算7.25 (version 1) (version 1) 2" xfId="3808"/>
    <cellStyle name="好_奖励补助测算7.25 (version 1) (version 1) 3" xfId="3809"/>
    <cellStyle name="好_奖励补助测算7.25 (version 1) (version 1) 4" xfId="3810"/>
    <cellStyle name="好_奖励补助测算7.25 (version 1) (version 1) 5" xfId="3811"/>
    <cellStyle name="好_奖励补助测算7.25 (version 1) (version 1) 6" xfId="3812"/>
    <cellStyle name="好_奖励补助测算7.25 (version 1) (version 1) 7" xfId="3813"/>
    <cellStyle name="好_奖励补助测算7.25 (version 1) (version 1) 8" xfId="3359"/>
    <cellStyle name="好_奖励补助测算7.25 (version 1) (version 1) 9" xfId="3814"/>
    <cellStyle name="好_奖励补助测算7.25 2" xfId="3815"/>
    <cellStyle name="好_奖励补助测算7.25 3" xfId="3816"/>
    <cellStyle name="好_奖励补助测算7.25 4" xfId="3817"/>
    <cellStyle name="好_奖励补助测算7.25 5" xfId="3818"/>
    <cellStyle name="好_奖励补助测算7.25 6" xfId="3819"/>
    <cellStyle name="好_奖励补助测算7.25 7" xfId="3820"/>
    <cellStyle name="好_奖励补助测算7.25 8" xfId="3821"/>
    <cellStyle name="好_奖励补助测算7.25 9" xfId="1080"/>
    <cellStyle name="好_教师绩效工资测算表（离退休按各地上报数测算）2009年1月1日" xfId="3588"/>
    <cellStyle name="好_教育厅提供义务教育及高中教师人数（2009年1月6日）" xfId="411"/>
    <cellStyle name="好_教育厅提供义务教育及高中教师人数（2009年1月6日） 2" xfId="3822"/>
    <cellStyle name="好_教育厅提供义务教育及高中教师人数（2009年1月6日） 3" xfId="3823"/>
    <cellStyle name="好_教育厅提供义务教育及高中教师人数（2009年1月6日） 4" xfId="3824"/>
    <cellStyle name="好_教育厅提供义务教育及高中教师人数（2009年1月6日） 5" xfId="3825"/>
    <cellStyle name="好_教育厅提供义务教育及高中教师人数（2009年1月6日） 6" xfId="3827"/>
    <cellStyle name="好_教育厅提供义务教育及高中教师人数（2009年1月6日） 7" xfId="2888"/>
    <cellStyle name="好_教育厅提供义务教育及高中教师人数（2009年1月6日） 8" xfId="3828"/>
    <cellStyle name="好_教育厅提供义务教育及高中教师人数（2009年1月6日） 9" xfId="3829"/>
    <cellStyle name="好_历年教师人数" xfId="2082"/>
    <cellStyle name="好_丽江汇总" xfId="3830"/>
    <cellStyle name="好_三季度－表二" xfId="3317"/>
    <cellStyle name="好_三季度－表二 2" xfId="2020"/>
    <cellStyle name="好_三季度－表二 3" xfId="2025"/>
    <cellStyle name="好_三季度－表二 4" xfId="2030"/>
    <cellStyle name="好_三季度－表二 5" xfId="2035"/>
    <cellStyle name="好_三季度－表二 6" xfId="2040"/>
    <cellStyle name="好_三季度－表二 7" xfId="2044"/>
    <cellStyle name="好_三季度－表二 8" xfId="2048"/>
    <cellStyle name="好_三季度－表二 9" xfId="2051"/>
    <cellStyle name="好_卫生部门" xfId="3832"/>
    <cellStyle name="好_卫生部门 2" xfId="2904"/>
    <cellStyle name="好_卫生部门 3" xfId="3087"/>
    <cellStyle name="好_卫生部门 4" xfId="3089"/>
    <cellStyle name="好_卫生部门 5" xfId="3091"/>
    <cellStyle name="好_卫生部门 6" xfId="3093"/>
    <cellStyle name="好_卫生部门 7" xfId="3095"/>
    <cellStyle name="好_卫生部门 8" xfId="18"/>
    <cellStyle name="好_卫生部门 9" xfId="3097"/>
    <cellStyle name="好_文体广播部门" xfId="3833"/>
    <cellStyle name="好_下半年禁毒办案经费分配2544.3万元" xfId="898"/>
    <cellStyle name="好_下半年禁吸戒毒经费1000万元" xfId="1889"/>
    <cellStyle name="好_下半年禁吸戒毒经费1000万元 2" xfId="3834"/>
    <cellStyle name="好_下半年禁吸戒毒经费1000万元 3" xfId="3835"/>
    <cellStyle name="好_下半年禁吸戒毒经费1000万元 4" xfId="3836"/>
    <cellStyle name="好_下半年禁吸戒毒经费1000万元 5" xfId="3837"/>
    <cellStyle name="好_下半年禁吸戒毒经费1000万元 6" xfId="3838"/>
    <cellStyle name="好_下半年禁吸戒毒经费1000万元 7" xfId="1775"/>
    <cellStyle name="好_下半年禁吸戒毒经费1000万元 8" xfId="1777"/>
    <cellStyle name="好_下半年禁吸戒毒经费1000万元 9" xfId="1779"/>
    <cellStyle name="好_县级公安机关公用经费标准奖励测算方案（定稿）" xfId="2620"/>
    <cellStyle name="好_县级公安机关公用经费标准奖励测算方案（定稿） 2" xfId="2107"/>
    <cellStyle name="好_县级公安机关公用经费标准奖励测算方案（定稿） 3" xfId="2110"/>
    <cellStyle name="好_县级公安机关公用经费标准奖励测算方案（定稿） 4" xfId="2112"/>
    <cellStyle name="好_县级公安机关公用经费标准奖励测算方案（定稿） 5" xfId="2115"/>
    <cellStyle name="好_县级公安机关公用经费标准奖励测算方案（定稿） 6" xfId="3839"/>
    <cellStyle name="好_县级公安机关公用经费标准奖励测算方案（定稿） 7" xfId="3840"/>
    <cellStyle name="好_县级公安机关公用经费标准奖励测算方案（定稿） 8" xfId="3841"/>
    <cellStyle name="好_县级公安机关公用经费标准奖励测算方案（定稿） 9" xfId="3842"/>
    <cellStyle name="好_县级基础数据" xfId="3844"/>
    <cellStyle name="好_业务工作量指标" xfId="3846"/>
    <cellStyle name="好_业务工作量指标 2" xfId="3848"/>
    <cellStyle name="好_业务工作量指标 3" xfId="10"/>
    <cellStyle name="好_业务工作量指标 4" xfId="125"/>
    <cellStyle name="好_业务工作量指标 5" xfId="74"/>
    <cellStyle name="好_业务工作量指标 6" xfId="127"/>
    <cellStyle name="好_业务工作量指标 7" xfId="129"/>
    <cellStyle name="好_业务工作量指标 8" xfId="131"/>
    <cellStyle name="好_业务工作量指标 9" xfId="134"/>
    <cellStyle name="好_义务教育阶段教职工人数（教育厅提供最终）" xfId="3849"/>
    <cellStyle name="好_义务教育阶段教职工人数（教育厅提供最终） 2" xfId="3850"/>
    <cellStyle name="好_义务教育阶段教职工人数（教育厅提供最终） 3" xfId="3851"/>
    <cellStyle name="好_义务教育阶段教职工人数（教育厅提供最终） 4" xfId="3852"/>
    <cellStyle name="好_义务教育阶段教职工人数（教育厅提供最终） 5" xfId="3853"/>
    <cellStyle name="好_义务教育阶段教职工人数（教育厅提供最终） 6" xfId="3854"/>
    <cellStyle name="好_义务教育阶段教职工人数（教育厅提供最终） 7" xfId="3855"/>
    <cellStyle name="好_义务教育阶段教职工人数（教育厅提供最终） 8" xfId="3856"/>
    <cellStyle name="好_义务教育阶段教职工人数（教育厅提供最终） 9" xfId="3857"/>
    <cellStyle name="好_云南农村义务教育统计表" xfId="3859"/>
    <cellStyle name="好_云南农村义务教育统计表 2" xfId="3860"/>
    <cellStyle name="好_云南农村义务教育统计表 3" xfId="3861"/>
    <cellStyle name="好_云南农村义务教育统计表 4" xfId="1992"/>
    <cellStyle name="好_云南农村义务教育统计表 5" xfId="1994"/>
    <cellStyle name="好_云南农村义务教育统计表 6" xfId="1996"/>
    <cellStyle name="好_云南农村义务教育统计表 7" xfId="1998"/>
    <cellStyle name="好_云南农村义务教育统计表 8" xfId="2000"/>
    <cellStyle name="好_云南农村义务教育统计表 9" xfId="2002"/>
    <cellStyle name="好_云南省2008年中小学教师人数统计表" xfId="3862"/>
    <cellStyle name="好_云南省2008年中小学教职工情况（教育厅提供20090101加工整理）" xfId="3795"/>
    <cellStyle name="好_云南省2008年中小学教职工情况（教育厅提供20090101加工整理） 2" xfId="3863"/>
    <cellStyle name="好_云南省2008年中小学教职工情况（教育厅提供20090101加工整理） 3" xfId="3864"/>
    <cellStyle name="好_云南省2008年中小学教职工情况（教育厅提供20090101加工整理） 4" xfId="3865"/>
    <cellStyle name="好_云南省2008年中小学教职工情况（教育厅提供20090101加工整理） 5" xfId="3866"/>
    <cellStyle name="好_云南省2008年中小学教职工情况（教育厅提供20090101加工整理） 6" xfId="634"/>
    <cellStyle name="好_云南省2008年中小学教职工情况（教育厅提供20090101加工整理） 7" xfId="3186"/>
    <cellStyle name="好_云南省2008年中小学教职工情况（教育厅提供20090101加工整理） 8" xfId="3188"/>
    <cellStyle name="好_云南省2008年中小学教职工情况（教育厅提供20090101加工整理） 9" xfId="2948"/>
    <cellStyle name="好_云南省2008年转移支付测算——州市本级考核部分及政策性测算" xfId="3867"/>
    <cellStyle name="好_云南省2008年转移支付测算——州市本级考核部分及政策性测算 2" xfId="3868"/>
    <cellStyle name="好_云南省2008年转移支付测算——州市本级考核部分及政策性测算 3" xfId="3869"/>
    <cellStyle name="好_云南省2008年转移支付测算——州市本级考核部分及政策性测算 4" xfId="3870"/>
    <cellStyle name="好_云南省2008年转移支付测算——州市本级考核部分及政策性测算 5" xfId="3871"/>
    <cellStyle name="好_云南省2008年转移支付测算——州市本级考核部分及政策性测算 6" xfId="3872"/>
    <cellStyle name="好_云南省2008年转移支付测算——州市本级考核部分及政策性测算 7" xfId="3291"/>
    <cellStyle name="好_云南省2008年转移支付测算——州市本级考核部分及政策性测算 8" xfId="2118"/>
    <cellStyle name="好_云南省2008年转移支付测算——州市本级考核部分及政策性测算 9" xfId="3295"/>
    <cellStyle name="好_指标四" xfId="1814"/>
    <cellStyle name="好_指标四 2" xfId="3873"/>
    <cellStyle name="好_指标四 3" xfId="2957"/>
    <cellStyle name="好_指标四 4" xfId="2961"/>
    <cellStyle name="好_指标四 5" xfId="2962"/>
    <cellStyle name="好_指标四 6" xfId="2964"/>
    <cellStyle name="好_指标四 7" xfId="2966"/>
    <cellStyle name="好_指标四 8" xfId="2968"/>
    <cellStyle name="好_指标四 9" xfId="2971"/>
    <cellStyle name="好_指标五" xfId="3874"/>
    <cellStyle name="后继超链接" xfId="3789"/>
    <cellStyle name="后继超链接 2" xfId="3604"/>
    <cellStyle name="后继超链接 3" xfId="3606"/>
    <cellStyle name="后继超链接 4" xfId="3608"/>
    <cellStyle name="后继超链接 5" xfId="3610"/>
    <cellStyle name="后继超链接 6" xfId="3612"/>
    <cellStyle name="后继超链接 7" xfId="3615"/>
    <cellStyle name="后继超链接 8" xfId="3875"/>
    <cellStyle name="后继超链接 9" xfId="3876"/>
    <cellStyle name="汇总 10" xfId="3878"/>
    <cellStyle name="汇总 2" xfId="1546"/>
    <cellStyle name="汇总 3" xfId="1551"/>
    <cellStyle name="汇总 3 2" xfId="1031"/>
    <cellStyle name="汇总 3 3" xfId="1033"/>
    <cellStyle name="汇总 3 4" xfId="1035"/>
    <cellStyle name="汇总 3 5" xfId="3879"/>
    <cellStyle name="汇总 3 6" xfId="3880"/>
    <cellStyle name="汇总 3 7" xfId="3882"/>
    <cellStyle name="汇总 4" xfId="1556"/>
    <cellStyle name="汇总 4 2" xfId="3885"/>
    <cellStyle name="汇总 5" xfId="1561"/>
    <cellStyle name="汇总 5 2" xfId="3886"/>
    <cellStyle name="汇总 6" xfId="1566"/>
    <cellStyle name="汇总 6 2" xfId="2367"/>
    <cellStyle name="汇总 7" xfId="2349"/>
    <cellStyle name="汇总 7 2" xfId="3887"/>
    <cellStyle name="汇总 8" xfId="2352"/>
    <cellStyle name="汇总 8 2" xfId="3888"/>
    <cellStyle name="汇总 9" xfId="3181"/>
    <cellStyle name="汇总 9 2" xfId="2774"/>
    <cellStyle name="计算 10" xfId="2738"/>
    <cellStyle name="计算 2" xfId="3889"/>
    <cellStyle name="计算 3" xfId="3890"/>
    <cellStyle name="计算 3 2" xfId="3891"/>
    <cellStyle name="计算 3 3" xfId="3892"/>
    <cellStyle name="计算 3 4" xfId="3893"/>
    <cellStyle name="计算 3 5" xfId="3894"/>
    <cellStyle name="计算 3 6" xfId="3895"/>
    <cellStyle name="计算 3 7" xfId="3896"/>
    <cellStyle name="计算 4" xfId="3523"/>
    <cellStyle name="计算 4 2" xfId="3897"/>
    <cellStyle name="计算 5" xfId="3845"/>
    <cellStyle name="计算 5 2" xfId="3847"/>
    <cellStyle name="计算 6" xfId="3898"/>
    <cellStyle name="计算 6 2" xfId="221"/>
    <cellStyle name="计算 7" xfId="1160"/>
    <cellStyle name="计算 7 2" xfId="1269"/>
    <cellStyle name="计算 8" xfId="3899"/>
    <cellStyle name="计算 8 2" xfId="3900"/>
    <cellStyle name="计算 9" xfId="1821"/>
    <cellStyle name="计算 9 2" xfId="1824"/>
    <cellStyle name="检查单元格 10" xfId="3247"/>
    <cellStyle name="检查单元格 2" xfId="3903"/>
    <cellStyle name="检查单元格 3" xfId="3905"/>
    <cellStyle name="检查单元格 3 2" xfId="3906"/>
    <cellStyle name="检查单元格 3 3" xfId="3907"/>
    <cellStyle name="检查单元格 3 4" xfId="3908"/>
    <cellStyle name="检查单元格 3 5" xfId="3909"/>
    <cellStyle name="检查单元格 3 6" xfId="3910"/>
    <cellStyle name="检查单元格 3 7" xfId="3911"/>
    <cellStyle name="检查单元格 4" xfId="3913"/>
    <cellStyle name="检查单元格 4 2" xfId="3914"/>
    <cellStyle name="检查单元格 5" xfId="2660"/>
    <cellStyle name="检查单元格 5 2" xfId="3915"/>
    <cellStyle name="检查单元格 6" xfId="3916"/>
    <cellStyle name="检查单元格 6 2" xfId="3136"/>
    <cellStyle name="检查单元格 7" xfId="3544"/>
    <cellStyle name="检查单元格 7 2" xfId="3592"/>
    <cellStyle name="检查单元格 8" xfId="3105"/>
    <cellStyle name="检查单元格 8 2" xfId="3108"/>
    <cellStyle name="检查单元格 9" xfId="3546"/>
    <cellStyle name="检查单元格 9 2" xfId="3917"/>
    <cellStyle name="解释性文本 10" xfId="3826"/>
    <cellStyle name="解释性文本 2" xfId="2462"/>
    <cellStyle name="解释性文本 3" xfId="2466"/>
    <cellStyle name="解释性文本 3 2" xfId="3918"/>
    <cellStyle name="解释性文本 3 3" xfId="3919"/>
    <cellStyle name="解释性文本 3 4" xfId="3920"/>
    <cellStyle name="解释性文本 3 5" xfId="3921"/>
    <cellStyle name="解释性文本 3 6" xfId="3922"/>
    <cellStyle name="解释性文本 3 7" xfId="3923"/>
    <cellStyle name="解释性文本 4" xfId="2470"/>
    <cellStyle name="解释性文本 4 2" xfId="3703"/>
    <cellStyle name="解释性文本 5" xfId="2473"/>
    <cellStyle name="解释性文本 5 2" xfId="3924"/>
    <cellStyle name="解释性文本 6" xfId="2855"/>
    <cellStyle name="解释性文本 6 2" xfId="2858"/>
    <cellStyle name="解释性文本 7" xfId="2863"/>
    <cellStyle name="解释性文本 7 2" xfId="2866"/>
    <cellStyle name="解释性文本 8" xfId="2868"/>
    <cellStyle name="解释性文本 8 2" xfId="174"/>
    <cellStyle name="解释性文本 9" xfId="2871"/>
    <cellStyle name="解释性文本 9 2" xfId="2131"/>
    <cellStyle name="借出原因" xfId="685"/>
    <cellStyle name="借出原因 10" xfId="1316"/>
    <cellStyle name="借出原因 11" xfId="1318"/>
    <cellStyle name="借出原因 12" xfId="1320"/>
    <cellStyle name="借出原因 13" xfId="1322"/>
    <cellStyle name="借出原因 14" xfId="1325"/>
    <cellStyle name="借出原因 15" xfId="2627"/>
    <cellStyle name="借出原因 16" xfId="2630"/>
    <cellStyle name="借出原因 17" xfId="2633"/>
    <cellStyle name="借出原因 18" xfId="2636"/>
    <cellStyle name="借出原因 19" xfId="2639"/>
    <cellStyle name="借出原因 2" xfId="3925"/>
    <cellStyle name="借出原因 20" xfId="2628"/>
    <cellStyle name="借出原因 21" xfId="2631"/>
    <cellStyle name="借出原因 22" xfId="2634"/>
    <cellStyle name="借出原因 23" xfId="2637"/>
    <cellStyle name="借出原因 24" xfId="2640"/>
    <cellStyle name="借出原因 25" xfId="2642"/>
    <cellStyle name="借出原因 26" xfId="3926"/>
    <cellStyle name="借出原因 27" xfId="3928"/>
    <cellStyle name="借出原因 28" xfId="3930"/>
    <cellStyle name="借出原因 29" xfId="3932"/>
    <cellStyle name="借出原因 3" xfId="3934"/>
    <cellStyle name="借出原因 30" xfId="2643"/>
    <cellStyle name="借出原因 31" xfId="3927"/>
    <cellStyle name="借出原因 32" xfId="3929"/>
    <cellStyle name="借出原因 33" xfId="3931"/>
    <cellStyle name="借出原因 34" xfId="3933"/>
    <cellStyle name="借出原因 35" xfId="3935"/>
    <cellStyle name="借出原因 36" xfId="3937"/>
    <cellStyle name="借出原因 37" xfId="3939"/>
    <cellStyle name="借出原因 38" xfId="3941"/>
    <cellStyle name="借出原因 39" xfId="1059"/>
    <cellStyle name="借出原因 4" xfId="3943"/>
    <cellStyle name="借出原因 40" xfId="3936"/>
    <cellStyle name="借出原因 41" xfId="3938"/>
    <cellStyle name="借出原因 42" xfId="3940"/>
    <cellStyle name="借出原因 43" xfId="3942"/>
    <cellStyle name="借出原因 44" xfId="1060"/>
    <cellStyle name="借出原因 45" xfId="309"/>
    <cellStyle name="借出原因 46" xfId="3944"/>
    <cellStyle name="借出原因 47" xfId="3946"/>
    <cellStyle name="借出原因 48" xfId="3948"/>
    <cellStyle name="借出原因 49" xfId="3949"/>
    <cellStyle name="借出原因 5" xfId="3950"/>
    <cellStyle name="借出原因 50" xfId="310"/>
    <cellStyle name="借出原因 51" xfId="3945"/>
    <cellStyle name="借出原因 52" xfId="3947"/>
    <cellStyle name="借出原因 6" xfId="792"/>
    <cellStyle name="借出原因 7" xfId="654"/>
    <cellStyle name="借出原因 8" xfId="808"/>
    <cellStyle name="借出原因 9" xfId="812"/>
    <cellStyle name="警告文本 10" xfId="1820"/>
    <cellStyle name="警告文本 2" xfId="770"/>
    <cellStyle name="警告文本 3" xfId="775"/>
    <cellStyle name="警告文本 3 2" xfId="511"/>
    <cellStyle name="警告文本 3 3" xfId="519"/>
    <cellStyle name="警告文本 3 4" xfId="526"/>
    <cellStyle name="警告文本 3 5" xfId="534"/>
    <cellStyle name="警告文本 3 6" xfId="780"/>
    <cellStyle name="警告文本 3 7" xfId="784"/>
    <cellStyle name="警告文本 4" xfId="3784"/>
    <cellStyle name="警告文本 4 2" xfId="3951"/>
    <cellStyle name="警告文本 5" xfId="3786"/>
    <cellStyle name="警告文本 5 2" xfId="3831"/>
    <cellStyle name="警告文本 6" xfId="3952"/>
    <cellStyle name="警告文本 6 2" xfId="3953"/>
    <cellStyle name="警告文本 7" xfId="3954"/>
    <cellStyle name="警告文本 7 2" xfId="3955"/>
    <cellStyle name="警告文本 8" xfId="3956"/>
    <cellStyle name="警告文本 8 2" xfId="3957"/>
    <cellStyle name="警告文本 9" xfId="2765"/>
    <cellStyle name="警告文本 9 2" xfId="1241"/>
    <cellStyle name="链接单元格 10" xfId="3958"/>
    <cellStyle name="链接单元格 2" xfId="3959"/>
    <cellStyle name="链接单元格 3" xfId="3617"/>
    <cellStyle name="链接单元格 3 2" xfId="3289"/>
    <cellStyle name="链接单元格 3 3" xfId="3960"/>
    <cellStyle name="链接单元格 3 4" xfId="3961"/>
    <cellStyle name="链接单元格 3 5" xfId="3962"/>
    <cellStyle name="链接单元格 3 6" xfId="3963"/>
    <cellStyle name="链接单元格 3 7" xfId="3964"/>
    <cellStyle name="链接单元格 4" xfId="3619"/>
    <cellStyle name="链接单元格 4 2" xfId="3965"/>
    <cellStyle name="链接单元格 5" xfId="3621"/>
    <cellStyle name="链接单元格 5 2" xfId="3966"/>
    <cellStyle name="链接单元格 6" xfId="3623"/>
    <cellStyle name="链接单元格 6 2" xfId="3967"/>
    <cellStyle name="链接单元格 7" xfId="3487"/>
    <cellStyle name="链接单元格 7 2" xfId="1044"/>
    <cellStyle name="链接单元格 8" xfId="3490"/>
    <cellStyle name="链接单元格 8 2" xfId="3968"/>
    <cellStyle name="链接单元格 9" xfId="3493"/>
    <cellStyle name="链接单元格 9 2" xfId="2535"/>
    <cellStyle name="霓付 [0]_ +Foil &amp; -FOIL &amp; PAPER" xfId="3154"/>
    <cellStyle name="霓付_ +Foil &amp; -FOIL &amp; PAPER" xfId="3969"/>
    <cellStyle name="烹拳 [0]_ +Foil &amp; -FOIL &amp; PAPER" xfId="3970"/>
    <cellStyle name="烹拳_ +Foil &amp; -FOIL &amp; PAPER" xfId="3971"/>
    <cellStyle name="普通_ 白土" xfId="3023"/>
    <cellStyle name="千分位[0]_ 白土" xfId="3972"/>
    <cellStyle name="千分位_ 白土" xfId="3973"/>
    <cellStyle name="千位[0]_ 方正PC" xfId="3975"/>
    <cellStyle name="千位_ 方正PC" xfId="3503"/>
    <cellStyle name="千位分隔" xfId="19" builtinId="3"/>
    <cellStyle name="千位分隔 2" xfId="3976"/>
    <cellStyle name="千位分隔 2 10" xfId="3977"/>
    <cellStyle name="千位分隔 2 2" xfId="3978"/>
    <cellStyle name="千位分隔 2 2 2" xfId="3979"/>
    <cellStyle name="千位分隔 2 2 3" xfId="3980"/>
    <cellStyle name="千位分隔 2 2 4" xfId="3981"/>
    <cellStyle name="千位分隔 2 2 5" xfId="3982"/>
    <cellStyle name="千位分隔 2 2 6" xfId="3983"/>
    <cellStyle name="千位分隔 2 2 7" xfId="3984"/>
    <cellStyle name="千位分隔 2 2 8" xfId="3986"/>
    <cellStyle name="千位分隔 2 2 9" xfId="3877"/>
    <cellStyle name="千位分隔 2 3" xfId="3987"/>
    <cellStyle name="千位分隔 2 4" xfId="1886"/>
    <cellStyle name="千位分隔 2 5" xfId="3651"/>
    <cellStyle name="千位分隔 2 6" xfId="3653"/>
    <cellStyle name="千位分隔 2 7" xfId="3655"/>
    <cellStyle name="千位分隔 2 8" xfId="3657"/>
    <cellStyle name="千位分隔 2 9" xfId="3659"/>
    <cellStyle name="千位分隔 3" xfId="2714"/>
    <cellStyle name="千位分隔 3 2" xfId="3988"/>
    <cellStyle name="千位分隔 3 3" xfId="3989"/>
    <cellStyle name="千位分隔 3 4" xfId="3990"/>
    <cellStyle name="千位分隔 3 5" xfId="3991"/>
    <cellStyle name="千位分隔 3 6" xfId="3992"/>
    <cellStyle name="千位分隔 3 7" xfId="3993"/>
    <cellStyle name="千位分隔 3 8" xfId="3994"/>
    <cellStyle name="千位分隔 3 9" xfId="3843"/>
    <cellStyle name="千位分隔 4" xfId="2716"/>
    <cellStyle name="千位分隔 4 2" xfId="2718"/>
    <cellStyle name="千位分隔 4 3" xfId="1430"/>
    <cellStyle name="千位分隔 4 4" xfId="2720"/>
    <cellStyle name="千位分隔 4 5" xfId="2722"/>
    <cellStyle name="千位分隔 4 6" xfId="2724"/>
    <cellStyle name="千位分隔 4 7" xfId="2726"/>
    <cellStyle name="千位分隔 4 8" xfId="3974"/>
    <cellStyle name="千位分隔 4 9" xfId="3995"/>
    <cellStyle name="千位分隔[0] 2" xfId="1296"/>
    <cellStyle name="千位分隔[0] 2 2" xfId="3421"/>
    <cellStyle name="千位分隔[0] 2 3" xfId="3424"/>
    <cellStyle name="千位分隔[0] 2 4" xfId="3427"/>
    <cellStyle name="千位分隔[0] 2 5" xfId="3429"/>
    <cellStyle name="千位分隔[0] 2 6" xfId="3431"/>
    <cellStyle name="千位分隔[0] 2 7" xfId="3433"/>
    <cellStyle name="千位分隔[0] 2 8" xfId="1707"/>
    <cellStyle name="千位分隔[0] 2 9" xfId="3996"/>
    <cellStyle name="钎霖_4岿角利" xfId="2960"/>
    <cellStyle name="强调 1" xfId="551"/>
    <cellStyle name="强调 2" xfId="554"/>
    <cellStyle name="强调 3" xfId="557"/>
    <cellStyle name="强调文字颜色 1 10" xfId="3750"/>
    <cellStyle name="强调文字颜色 1 2" xfId="3223"/>
    <cellStyle name="强调文字颜色 1 3" xfId="3225"/>
    <cellStyle name="强调文字颜色 1 3 2" xfId="3999"/>
    <cellStyle name="强调文字颜色 1 3 3" xfId="3765"/>
    <cellStyle name="强调文字颜色 1 3 4" xfId="4002"/>
    <cellStyle name="强调文字颜色 1 3 5" xfId="4005"/>
    <cellStyle name="强调文字颜色 1 3 6" xfId="4008"/>
    <cellStyle name="强调文字颜色 1 3 7" xfId="4011"/>
    <cellStyle name="强调文字颜色 1 4" xfId="3227"/>
    <cellStyle name="强调文字颜色 1 4 2" xfId="2247"/>
    <cellStyle name="强调文字颜色 1 5" xfId="3229"/>
    <cellStyle name="强调文字颜色 1 5 2" xfId="2829"/>
    <cellStyle name="强调文字颜色 1 6" xfId="3231"/>
    <cellStyle name="强调文字颜色 1 6 2" xfId="4012"/>
    <cellStyle name="强调文字颜色 1 7" xfId="4013"/>
    <cellStyle name="强调文字颜色 1 7 2" xfId="1169"/>
    <cellStyle name="强调文字颜色 1 8" xfId="4014"/>
    <cellStyle name="强调文字颜色 1 8 2" xfId="591"/>
    <cellStyle name="强调文字颜色 1 9" xfId="4015"/>
    <cellStyle name="强调文字颜色 1 9 2" xfId="63"/>
    <cellStyle name="强调文字颜色 2 10" xfId="1581"/>
    <cellStyle name="强调文字颜色 2 2" xfId="4016"/>
    <cellStyle name="强调文字颜色 2 3" xfId="4017"/>
    <cellStyle name="强调文字颜色 2 3 2" xfId="5"/>
    <cellStyle name="强调文字颜色 2 3 3" xfId="3110"/>
    <cellStyle name="强调文字颜色 2 3 4" xfId="3112"/>
    <cellStyle name="强调文字颜色 2 3 5" xfId="3114"/>
    <cellStyle name="强调文字颜色 2 3 6" xfId="3116"/>
    <cellStyle name="强调文字颜色 2 3 7" xfId="3118"/>
    <cellStyle name="强调文字颜色 2 4" xfId="4018"/>
    <cellStyle name="强调文字颜色 2 4 2" xfId="1232"/>
    <cellStyle name="强调文字颜色 2 5" xfId="4019"/>
    <cellStyle name="强调文字颜色 2 5 2" xfId="393"/>
    <cellStyle name="强调文字颜色 2 6" xfId="4020"/>
    <cellStyle name="强调文字颜色 2 6 2" xfId="1262"/>
    <cellStyle name="强调文字颜色 2 7" xfId="4021"/>
    <cellStyle name="强调文字颜色 2 7 2" xfId="3260"/>
    <cellStyle name="强调文字颜色 2 8" xfId="4022"/>
    <cellStyle name="强调文字颜色 2 8 2" xfId="314"/>
    <cellStyle name="强调文字颜色 2 9" xfId="4023"/>
    <cellStyle name="强调文字颜色 2 9 2" xfId="713"/>
    <cellStyle name="强调文字颜色 3 10" xfId="4024"/>
    <cellStyle name="强调文字颜色 3 2" xfId="4025"/>
    <cellStyle name="强调文字颜色 3 3" xfId="3368"/>
    <cellStyle name="强调文字颜色 3 3 2" xfId="2592"/>
    <cellStyle name="强调文字颜色 3 3 3" xfId="2594"/>
    <cellStyle name="强调文字颜色 3 3 4" xfId="4026"/>
    <cellStyle name="强调文字颜色 3 3 5" xfId="4027"/>
    <cellStyle name="强调文字颜色 3 3 6" xfId="4028"/>
    <cellStyle name="强调文字颜色 3 3 7" xfId="4029"/>
    <cellStyle name="强调文字颜色 3 4" xfId="3370"/>
    <cellStyle name="强调文字颜色 3 4 2" xfId="2970"/>
    <cellStyle name="强调文字颜色 3 5" xfId="3210"/>
    <cellStyle name="强调文字颜色 3 5 2" xfId="1288"/>
    <cellStyle name="强调文字颜色 3 6" xfId="3372"/>
    <cellStyle name="强调文字颜色 3 6 2" xfId="3614"/>
    <cellStyle name="强调文字颜色 3 7" xfId="3374"/>
    <cellStyle name="强调文字颜色 3 7 2" xfId="4030"/>
    <cellStyle name="强调文字颜色 3 8" xfId="3376"/>
    <cellStyle name="强调文字颜色 3 8 2" xfId="630"/>
    <cellStyle name="强调文字颜色 3 9" xfId="3378"/>
    <cellStyle name="强调文字颜色 3 9 2" xfId="4031"/>
    <cellStyle name="强调文字颜色 4 10" xfId="3985"/>
    <cellStyle name="强调文字颜色 4 2" xfId="1006"/>
    <cellStyle name="强调文字颜色 4 3" xfId="1016"/>
    <cellStyle name="强调文字颜色 4 3 2" xfId="1018"/>
    <cellStyle name="强调文字颜色 4 3 3" xfId="1020"/>
    <cellStyle name="强调文字颜色 4 3 4" xfId="1023"/>
    <cellStyle name="强调文字颜色 4 3 5" xfId="1025"/>
    <cellStyle name="强调文字颜色 4 3 6" xfId="1027"/>
    <cellStyle name="强调文字颜色 4 3 7" xfId="1029"/>
    <cellStyle name="强调文字颜色 4 4" xfId="4032"/>
    <cellStyle name="强调文字颜色 4 4 2" xfId="4033"/>
    <cellStyle name="强调文字颜色 4 5" xfId="4034"/>
    <cellStyle name="强调文字颜色 4 5 2" xfId="3755"/>
    <cellStyle name="强调文字颜色 4 6" xfId="4035"/>
    <cellStyle name="强调文字颜色 4 6 2" xfId="2360"/>
    <cellStyle name="强调文字颜色 4 7" xfId="4036"/>
    <cellStyle name="强调文字颜色 4 7 2" xfId="4037"/>
    <cellStyle name="强调文字颜色 4 8" xfId="4039"/>
    <cellStyle name="强调文字颜色 4 8 2" xfId="644"/>
    <cellStyle name="强调文字颜色 4 9" xfId="4040"/>
    <cellStyle name="强调文字颜色 4 9 2" xfId="4041"/>
    <cellStyle name="强调文字颜色 5 10" xfId="4042"/>
    <cellStyle name="强调文字颜色 5 2" xfId="4043"/>
    <cellStyle name="强调文字颜色 5 3" xfId="4044"/>
    <cellStyle name="强调文字颜色 5 3 2" xfId="4045"/>
    <cellStyle name="强调文字颜色 5 3 3" xfId="4046"/>
    <cellStyle name="强调文字颜色 5 3 4" xfId="3627"/>
    <cellStyle name="强调文字颜色 5 3 5" xfId="4047"/>
    <cellStyle name="强调文字颜色 5 3 6" xfId="4049"/>
    <cellStyle name="强调文字颜色 5 3 7" xfId="2974"/>
    <cellStyle name="强调文字颜色 5 4" xfId="4050"/>
    <cellStyle name="强调文字颜色 5 4 2" xfId="4051"/>
    <cellStyle name="强调文字颜色 5 5" xfId="4052"/>
    <cellStyle name="强调文字颜色 5 5 2" xfId="1300"/>
    <cellStyle name="强调文字颜色 5 6" xfId="4053"/>
    <cellStyle name="强调文字颜色 5 6 2" xfId="3527"/>
    <cellStyle name="强调文字颜色 5 7" xfId="4054"/>
    <cellStyle name="强调文字颜色 5 7 2" xfId="4055"/>
    <cellStyle name="强调文字颜色 5 8" xfId="4056"/>
    <cellStyle name="强调文字颜色 5 8 2" xfId="41"/>
    <cellStyle name="强调文字颜色 5 9" xfId="4057"/>
    <cellStyle name="强调文字颜色 5 9 2" xfId="4058"/>
    <cellStyle name="强调文字颜色 6 10" xfId="4059"/>
    <cellStyle name="强调文字颜色 6 2" xfId="2560"/>
    <cellStyle name="强调文字颜色 6 3" xfId="2564"/>
    <cellStyle name="强调文字颜色 6 3 2" xfId="4060"/>
    <cellStyle name="强调文字颜色 6 3 3" xfId="4061"/>
    <cellStyle name="强调文字颜色 6 3 4" xfId="4062"/>
    <cellStyle name="强调文字颜色 6 3 5" xfId="4063"/>
    <cellStyle name="强调文字颜色 6 3 6" xfId="4064"/>
    <cellStyle name="强调文字颜色 6 3 7" xfId="4065"/>
    <cellStyle name="强调文字颜色 6 4" xfId="2567"/>
    <cellStyle name="强调文字颜色 6 4 2" xfId="1343"/>
    <cellStyle name="强调文字颜色 6 5" xfId="2571"/>
    <cellStyle name="强调文字颜色 6 5 2" xfId="1646"/>
    <cellStyle name="强调文字颜色 6 6" xfId="2574"/>
    <cellStyle name="强调文字颜色 6 6 2" xfId="4066"/>
    <cellStyle name="强调文字颜色 6 7" xfId="2578"/>
    <cellStyle name="强调文字颜色 6 7 2" xfId="1577"/>
    <cellStyle name="强调文字颜色 6 8" xfId="2581"/>
    <cellStyle name="强调文字颜色 6 8 2" xfId="677"/>
    <cellStyle name="强调文字颜色 6 9" xfId="2585"/>
    <cellStyle name="强调文字颜色 6 9 2" xfId="4067"/>
    <cellStyle name="日期" xfId="1200"/>
    <cellStyle name="日期 10" xfId="4068"/>
    <cellStyle name="日期 11" xfId="1512"/>
    <cellStyle name="日期 12" xfId="4069"/>
    <cellStyle name="日期 13" xfId="4070"/>
    <cellStyle name="日期 14" xfId="3673"/>
    <cellStyle name="日期 15" xfId="3675"/>
    <cellStyle name="日期 16" xfId="1111"/>
    <cellStyle name="日期 17" xfId="1115"/>
    <cellStyle name="日期 18" xfId="1133"/>
    <cellStyle name="日期 19" xfId="1141"/>
    <cellStyle name="日期 2" xfId="936"/>
    <cellStyle name="日期 20" xfId="3676"/>
    <cellStyle name="日期 21" xfId="1112"/>
    <cellStyle name="日期 22" xfId="1116"/>
    <cellStyle name="日期 23" xfId="1134"/>
    <cellStyle name="日期 24" xfId="1142"/>
    <cellStyle name="日期 25" xfId="1147"/>
    <cellStyle name="日期 26" xfId="1152"/>
    <cellStyle name="日期 27" xfId="1157"/>
    <cellStyle name="日期 28" xfId="1162"/>
    <cellStyle name="日期 29" xfId="1189"/>
    <cellStyle name="日期 3" xfId="941"/>
    <cellStyle name="日期 30" xfId="1148"/>
    <cellStyle name="日期 31" xfId="1153"/>
    <cellStyle name="日期 32" xfId="1158"/>
    <cellStyle name="日期 33" xfId="1163"/>
    <cellStyle name="日期 34" xfId="1190"/>
    <cellStyle name="日期 35" xfId="1447"/>
    <cellStyle name="日期 36" xfId="1450"/>
    <cellStyle name="日期 37" xfId="1453"/>
    <cellStyle name="日期 38" xfId="1456"/>
    <cellStyle name="日期 39" xfId="860"/>
    <cellStyle name="日期 4" xfId="944"/>
    <cellStyle name="日期 40" xfId="1448"/>
    <cellStyle name="日期 41" xfId="1451"/>
    <cellStyle name="日期 42" xfId="1454"/>
    <cellStyle name="日期 43" xfId="1457"/>
    <cellStyle name="日期 44" xfId="861"/>
    <cellStyle name="日期 45" xfId="1459"/>
    <cellStyle name="日期 46" xfId="4071"/>
    <cellStyle name="日期 47" xfId="1691"/>
    <cellStyle name="日期 48" xfId="4073"/>
    <cellStyle name="日期 49" xfId="637"/>
    <cellStyle name="日期 5" xfId="947"/>
    <cellStyle name="日期 50" xfId="1460"/>
    <cellStyle name="日期 51" xfId="4072"/>
    <cellStyle name="日期 52" xfId="1692"/>
    <cellStyle name="日期 6" xfId="950"/>
    <cellStyle name="日期 7" xfId="953"/>
    <cellStyle name="日期 8" xfId="956"/>
    <cellStyle name="日期 9" xfId="3286"/>
    <cellStyle name="商品名称" xfId="4074"/>
    <cellStyle name="商品名称 10" xfId="3858"/>
    <cellStyle name="商品名称 11" xfId="4075"/>
    <cellStyle name="商品名称 12" xfId="4076"/>
    <cellStyle name="商品名称 13" xfId="4077"/>
    <cellStyle name="商品名称 14" xfId="4078"/>
    <cellStyle name="商品名称 15" xfId="4079"/>
    <cellStyle name="商品名称 16" xfId="4081"/>
    <cellStyle name="商品名称 17" xfId="926"/>
    <cellStyle name="商品名称 18" xfId="3678"/>
    <cellStyle name="商品名称 19" xfId="3681"/>
    <cellStyle name="商品名称 2" xfId="4083"/>
    <cellStyle name="商品名称 20" xfId="4080"/>
    <cellStyle name="商品名称 21" xfId="4082"/>
    <cellStyle name="商品名称 22" xfId="927"/>
    <cellStyle name="商品名称 23" xfId="3679"/>
    <cellStyle name="商品名称 24" xfId="3682"/>
    <cellStyle name="商品名称 25" xfId="3684"/>
    <cellStyle name="商品名称 26" xfId="3687"/>
    <cellStyle name="商品名称 27" xfId="146"/>
    <cellStyle name="商品名称 28" xfId="153"/>
    <cellStyle name="商品名称 29" xfId="161"/>
    <cellStyle name="商品名称 3" xfId="4084"/>
    <cellStyle name="商品名称 30" xfId="3685"/>
    <cellStyle name="商品名称 31" xfId="3688"/>
    <cellStyle name="商品名称 32" xfId="147"/>
    <cellStyle name="商品名称 33" xfId="154"/>
    <cellStyle name="商品名称 34" xfId="162"/>
    <cellStyle name="商品名称 35" xfId="167"/>
    <cellStyle name="商品名称 36" xfId="172"/>
    <cellStyle name="商品名称 37" xfId="182"/>
    <cellStyle name="商品名称 38" xfId="188"/>
    <cellStyle name="商品名称 39" xfId="196"/>
    <cellStyle name="商品名称 4" xfId="1585"/>
    <cellStyle name="商品名称 40" xfId="168"/>
    <cellStyle name="商品名称 41" xfId="173"/>
    <cellStyle name="商品名称 42" xfId="183"/>
    <cellStyle name="商品名称 43" xfId="189"/>
    <cellStyle name="商品名称 44" xfId="197"/>
    <cellStyle name="商品名称 45" xfId="203"/>
    <cellStyle name="商品名称 46" xfId="208"/>
    <cellStyle name="商品名称 47" xfId="215"/>
    <cellStyle name="商品名称 48" xfId="220"/>
    <cellStyle name="商品名称 49" xfId="257"/>
    <cellStyle name="商品名称 5" xfId="115"/>
    <cellStyle name="商品名称 50" xfId="204"/>
    <cellStyle name="商品名称 51" xfId="209"/>
    <cellStyle name="商品名称 52" xfId="216"/>
    <cellStyle name="商品名称 6" xfId="1587"/>
    <cellStyle name="商品名称 7" xfId="1589"/>
    <cellStyle name="商品名称 8" xfId="1591"/>
    <cellStyle name="商品名称 9" xfId="1593"/>
    <cellStyle name="适中 10" xfId="1897"/>
    <cellStyle name="适中 2" xfId="4085"/>
    <cellStyle name="适中 3" xfId="4086"/>
    <cellStyle name="适中 3 2" xfId="2497"/>
    <cellStyle name="适中 3 3" xfId="4087"/>
    <cellStyle name="适中 3 4" xfId="258"/>
    <cellStyle name="适中 3 5" xfId="4088"/>
    <cellStyle name="适中 3 6" xfId="4089"/>
    <cellStyle name="适中 3 7" xfId="4090"/>
    <cellStyle name="适中 4" xfId="4091"/>
    <cellStyle name="适中 4 2" xfId="2514"/>
    <cellStyle name="适中 5" xfId="4092"/>
    <cellStyle name="适中 5 2" xfId="4093"/>
    <cellStyle name="适中 6" xfId="3053"/>
    <cellStyle name="适中 6 2" xfId="4094"/>
    <cellStyle name="适中 7" xfId="3055"/>
    <cellStyle name="适中 7 2" xfId="4095"/>
    <cellStyle name="适中 8" xfId="3057"/>
    <cellStyle name="适中 8 2" xfId="111"/>
    <cellStyle name="适中 9" xfId="3059"/>
    <cellStyle name="适中 9 2" xfId="2058"/>
    <cellStyle name="输出 10" xfId="3206"/>
    <cellStyle name="输出 2" xfId="2817"/>
    <cellStyle name="输出 3" xfId="2823"/>
    <cellStyle name="输出 3 2" xfId="1859"/>
    <cellStyle name="输出 3 3" xfId="1864"/>
    <cellStyle name="输出 3 4" xfId="1868"/>
    <cellStyle name="输出 3 5" xfId="2198"/>
    <cellStyle name="输出 3 6" xfId="2201"/>
    <cellStyle name="输出 3 7" xfId="2204"/>
    <cellStyle name="输出 4" xfId="2828"/>
    <cellStyle name="输出 4 2" xfId="1877"/>
    <cellStyle name="输出 5" xfId="2834"/>
    <cellStyle name="输出 5 2" xfId="4096"/>
    <cellStyle name="输出 6" xfId="2839"/>
    <cellStyle name="输出 6 2" xfId="4097"/>
    <cellStyle name="输出 7" xfId="2844"/>
    <cellStyle name="输出 7 2" xfId="4048"/>
    <cellStyle name="输出 8" xfId="2437"/>
    <cellStyle name="输出 8 2" xfId="1654"/>
    <cellStyle name="输出 9" xfId="2443"/>
    <cellStyle name="输出 9 2" xfId="1307"/>
    <cellStyle name="输入 10" xfId="4038"/>
    <cellStyle name="输入 2" xfId="3416"/>
    <cellStyle name="输入 3" xfId="3436"/>
    <cellStyle name="输入 3 2" xfId="4098"/>
    <cellStyle name="输入 3 3" xfId="4099"/>
    <cellStyle name="输入 3 4" xfId="3336"/>
    <cellStyle name="输入 3 5" xfId="4100"/>
    <cellStyle name="输入 3 6" xfId="4101"/>
    <cellStyle name="输入 3 7" xfId="4102"/>
    <cellStyle name="输入 4" xfId="4103"/>
    <cellStyle name="输入 4 2" xfId="4104"/>
    <cellStyle name="输入 5" xfId="4105"/>
    <cellStyle name="输入 5 2" xfId="3176"/>
    <cellStyle name="输入 6" xfId="4106"/>
    <cellStyle name="输入 6 2" xfId="4107"/>
    <cellStyle name="输入 7" xfId="4108"/>
    <cellStyle name="输入 7 2" xfId="1065"/>
    <cellStyle name="输入 8" xfId="2984"/>
    <cellStyle name="输入 8 2" xfId="2986"/>
    <cellStyle name="输入 9" xfId="4109"/>
    <cellStyle name="输入 9 2" xfId="4110"/>
    <cellStyle name="数量" xfId="2305"/>
    <cellStyle name="数量 10" xfId="4111"/>
    <cellStyle name="数量 11" xfId="2121"/>
    <cellStyle name="数量 12" xfId="4112"/>
    <cellStyle name="数量 13" xfId="4113"/>
    <cellStyle name="数量 14" xfId="4114"/>
    <cellStyle name="数量 15" xfId="4115"/>
    <cellStyle name="数量 16" xfId="4117"/>
    <cellStyle name="数量 17" xfId="4119"/>
    <cellStyle name="数量 18" xfId="4121"/>
    <cellStyle name="数量 19" xfId="4123"/>
    <cellStyle name="数量 2" xfId="3594"/>
    <cellStyle name="数量 20" xfId="4116"/>
    <cellStyle name="数量 21" xfId="4118"/>
    <cellStyle name="数量 22" xfId="4120"/>
    <cellStyle name="数量 23" xfId="4122"/>
    <cellStyle name="数量 24" xfId="4124"/>
    <cellStyle name="数量 25" xfId="4125"/>
    <cellStyle name="数量 26" xfId="3997"/>
    <cellStyle name="数量 27" xfId="3763"/>
    <cellStyle name="数量 28" xfId="4000"/>
    <cellStyle name="数量 29" xfId="4003"/>
    <cellStyle name="数量 3" xfId="4127"/>
    <cellStyle name="数量 30" xfId="4126"/>
    <cellStyle name="数量 31" xfId="3998"/>
    <cellStyle name="数量 32" xfId="3764"/>
    <cellStyle name="数量 33" xfId="4001"/>
    <cellStyle name="数量 34" xfId="4004"/>
    <cellStyle name="数量 35" xfId="4006"/>
    <cellStyle name="数量 36" xfId="4009"/>
    <cellStyle name="数量 37" xfId="4128"/>
    <cellStyle name="数量 38" xfId="4130"/>
    <cellStyle name="数量 39" xfId="4132"/>
    <cellStyle name="数量 4" xfId="4134"/>
    <cellStyle name="数量 40" xfId="4007"/>
    <cellStyle name="数量 41" xfId="4010"/>
    <cellStyle name="数量 42" xfId="4129"/>
    <cellStyle name="数量 43" xfId="4131"/>
    <cellStyle name="数量 44" xfId="4133"/>
    <cellStyle name="数量 45" xfId="4135"/>
    <cellStyle name="数量 46" xfId="4137"/>
    <cellStyle name="数量 47" xfId="4139"/>
    <cellStyle name="数量 48" xfId="4141"/>
    <cellStyle name="数量 49" xfId="4142"/>
    <cellStyle name="数量 5" xfId="61"/>
    <cellStyle name="数量 50" xfId="4136"/>
    <cellStyle name="数量 51" xfId="4138"/>
    <cellStyle name="数量 52" xfId="4140"/>
    <cellStyle name="数量 6" xfId="4143"/>
    <cellStyle name="数量 7" xfId="4144"/>
    <cellStyle name="数量 8" xfId="4145"/>
    <cellStyle name="数量 9" xfId="4146"/>
    <cellStyle name="数字" xfId="4147"/>
    <cellStyle name="数字 10" xfId="3881"/>
    <cellStyle name="数字 11" xfId="4148"/>
    <cellStyle name="数字 12" xfId="4149"/>
    <cellStyle name="数字 13" xfId="4150"/>
    <cellStyle name="数字 14" xfId="4151"/>
    <cellStyle name="数字 15" xfId="4153"/>
    <cellStyle name="数字 16" xfId="4155"/>
    <cellStyle name="数字 17" xfId="4157"/>
    <cellStyle name="数字 18" xfId="4159"/>
    <cellStyle name="数字 19" xfId="4161"/>
    <cellStyle name="数字 2" xfId="4162"/>
    <cellStyle name="数字 2 10" xfId="4163"/>
    <cellStyle name="数字 2 11" xfId="4164"/>
    <cellStyle name="数字 2 12" xfId="4165"/>
    <cellStyle name="数字 2 13" xfId="4166"/>
    <cellStyle name="数字 2 14" xfId="4167"/>
    <cellStyle name="数字 2 15" xfId="4169"/>
    <cellStyle name="数字 2 16" xfId="4171"/>
    <cellStyle name="数字 2 17" xfId="4173"/>
    <cellStyle name="数字 2 18" xfId="4175"/>
    <cellStyle name="数字 2 19" xfId="4177"/>
    <cellStyle name="数字 2 2" xfId="4178"/>
    <cellStyle name="数字 2 20" xfId="4168"/>
    <cellStyle name="数字 2 21" xfId="4170"/>
    <cellStyle name="数字 2 22" xfId="4172"/>
    <cellStyle name="数字 2 23" xfId="4174"/>
    <cellStyle name="数字 2 24" xfId="4176"/>
    <cellStyle name="数字 2 25" xfId="4180"/>
    <cellStyle name="数字 2 26" xfId="4182"/>
    <cellStyle name="数字 2 27" xfId="4184"/>
    <cellStyle name="数字 2 28" xfId="4186"/>
    <cellStyle name="数字 2 29" xfId="4188"/>
    <cellStyle name="数字 2 3" xfId="4189"/>
    <cellStyle name="数字 2 30" xfId="4179"/>
    <cellStyle name="数字 2 31" xfId="4181"/>
    <cellStyle name="数字 2 32" xfId="4183"/>
    <cellStyle name="数字 2 33" xfId="4185"/>
    <cellStyle name="数字 2 34" xfId="4187"/>
    <cellStyle name="数字 2 35" xfId="4191"/>
    <cellStyle name="数字 2 36" xfId="4193"/>
    <cellStyle name="数字 2 37" xfId="4195"/>
    <cellStyle name="数字 2 38" xfId="4197"/>
    <cellStyle name="数字 2 39" xfId="4199"/>
    <cellStyle name="数字 2 4" xfId="4200"/>
    <cellStyle name="数字 2 40" xfId="4190"/>
    <cellStyle name="数字 2 41" xfId="4192"/>
    <cellStyle name="数字 2 42" xfId="4194"/>
    <cellStyle name="数字 2 43" xfId="4196"/>
    <cellStyle name="数字 2 44" xfId="4198"/>
    <cellStyle name="数字 2 45" xfId="4202"/>
    <cellStyle name="数字 2 46" xfId="4204"/>
    <cellStyle name="数字 2 47" xfId="4206"/>
    <cellStyle name="数字 2 48" xfId="4207"/>
    <cellStyle name="数字 2 49" xfId="4208"/>
    <cellStyle name="数字 2 5" xfId="4209"/>
    <cellStyle name="数字 2 50" xfId="4201"/>
    <cellStyle name="数字 2 51" xfId="4203"/>
    <cellStyle name="数字 2 52" xfId="4205"/>
    <cellStyle name="数字 2 6" xfId="4210"/>
    <cellStyle name="数字 2 7" xfId="4211"/>
    <cellStyle name="数字 2 8" xfId="4212"/>
    <cellStyle name="数字 2 9" xfId="4213"/>
    <cellStyle name="数字 20" xfId="4152"/>
    <cellStyle name="数字 21" xfId="4154"/>
    <cellStyle name="数字 22" xfId="4156"/>
    <cellStyle name="数字 23" xfId="4158"/>
    <cellStyle name="数字 24" xfId="4160"/>
    <cellStyle name="数字 25" xfId="4215"/>
    <cellStyle name="数字 26" xfId="4217"/>
    <cellStyle name="数字 27" xfId="4219"/>
    <cellStyle name="数字 28" xfId="4221"/>
    <cellStyle name="数字 29" xfId="4223"/>
    <cellStyle name="数字 3" xfId="4224"/>
    <cellStyle name="数字 3 10" xfId="4225"/>
    <cellStyle name="数字 3 11" xfId="4226"/>
    <cellStyle name="数字 3 12" xfId="4227"/>
    <cellStyle name="数字 3 13" xfId="4228"/>
    <cellStyle name="数字 3 14" xfId="4229"/>
    <cellStyle name="数字 3 15" xfId="4231"/>
    <cellStyle name="数字 3 16" xfId="4233"/>
    <cellStyle name="数字 3 17" xfId="4235"/>
    <cellStyle name="数字 3 18" xfId="4237"/>
    <cellStyle name="数字 3 19" xfId="4239"/>
    <cellStyle name="数字 3 2" xfId="4240"/>
    <cellStyle name="数字 3 20" xfId="4230"/>
    <cellStyle name="数字 3 21" xfId="4232"/>
    <cellStyle name="数字 3 22" xfId="4234"/>
    <cellStyle name="数字 3 23" xfId="4236"/>
    <cellStyle name="数字 3 24" xfId="4238"/>
    <cellStyle name="数字 3 25" xfId="4242"/>
    <cellStyle name="数字 3 26" xfId="4244"/>
    <cellStyle name="数字 3 27" xfId="4246"/>
    <cellStyle name="数字 3 28" xfId="4248"/>
    <cellStyle name="数字 3 29" xfId="4250"/>
    <cellStyle name="数字 3 3" xfId="4251"/>
    <cellStyle name="数字 3 30" xfId="4241"/>
    <cellStyle name="数字 3 31" xfId="4243"/>
    <cellStyle name="数字 3 32" xfId="4245"/>
    <cellStyle name="数字 3 33" xfId="4247"/>
    <cellStyle name="数字 3 34" xfId="4249"/>
    <cellStyle name="数字 3 35" xfId="4253"/>
    <cellStyle name="数字 3 36" xfId="4255"/>
    <cellStyle name="数字 3 37" xfId="4257"/>
    <cellStyle name="数字 3 38" xfId="4259"/>
    <cellStyle name="数字 3 39" xfId="4261"/>
    <cellStyle name="数字 3 4" xfId="4262"/>
    <cellStyle name="数字 3 40" xfId="4252"/>
    <cellStyle name="数字 3 41" xfId="4254"/>
    <cellStyle name="数字 3 42" xfId="4256"/>
    <cellStyle name="数字 3 43" xfId="4258"/>
    <cellStyle name="数字 3 44" xfId="4260"/>
    <cellStyle name="数字 3 45" xfId="4264"/>
    <cellStyle name="数字 3 46" xfId="4266"/>
    <cellStyle name="数字 3 47" xfId="4268"/>
    <cellStyle name="数字 3 48" xfId="4269"/>
    <cellStyle name="数字 3 49" xfId="4270"/>
    <cellStyle name="数字 3 5" xfId="4271"/>
    <cellStyle name="数字 3 50" xfId="4263"/>
    <cellStyle name="数字 3 51" xfId="4265"/>
    <cellStyle name="数字 3 52" xfId="4267"/>
    <cellStyle name="数字 3 6" xfId="4272"/>
    <cellStyle name="数字 3 7" xfId="4273"/>
    <cellStyle name="数字 3 8" xfId="4274"/>
    <cellStyle name="数字 3 9" xfId="4275"/>
    <cellStyle name="数字 30" xfId="4214"/>
    <cellStyle name="数字 31" xfId="4216"/>
    <cellStyle name="数字 32" xfId="4218"/>
    <cellStyle name="数字 33" xfId="4220"/>
    <cellStyle name="数字 34" xfId="4222"/>
    <cellStyle name="数字 35" xfId="4277"/>
    <cellStyle name="数字 36" xfId="4279"/>
    <cellStyle name="数字 37" xfId="4281"/>
    <cellStyle name="数字 38" xfId="4283"/>
    <cellStyle name="数字 39" xfId="4285"/>
    <cellStyle name="数字 4" xfId="4286"/>
    <cellStyle name="数字 4 10" xfId="4287"/>
    <cellStyle name="数字 4 11" xfId="4288"/>
    <cellStyle name="数字 4 12" xfId="4289"/>
    <cellStyle name="数字 4 13" xfId="4290"/>
    <cellStyle name="数字 4 14" xfId="4291"/>
    <cellStyle name="数字 4 15" xfId="4293"/>
    <cellStyle name="数字 4 16" xfId="4295"/>
    <cellStyle name="数字 4 17" xfId="4297"/>
    <cellStyle name="数字 4 18" xfId="4299"/>
    <cellStyle name="数字 4 19" xfId="4301"/>
    <cellStyle name="数字 4 2" xfId="4302"/>
    <cellStyle name="数字 4 20" xfId="4292"/>
    <cellStyle name="数字 4 21" xfId="4294"/>
    <cellStyle name="数字 4 22" xfId="4296"/>
    <cellStyle name="数字 4 23" xfId="4298"/>
    <cellStyle name="数字 4 24" xfId="4300"/>
    <cellStyle name="数字 4 25" xfId="4304"/>
    <cellStyle name="数字 4 26" xfId="4306"/>
    <cellStyle name="数字 4 27" xfId="4308"/>
    <cellStyle name="数字 4 28" xfId="4310"/>
    <cellStyle name="数字 4 29" xfId="4312"/>
    <cellStyle name="数字 4 3" xfId="4313"/>
    <cellStyle name="数字 4 30" xfId="4303"/>
    <cellStyle name="数字 4 31" xfId="4305"/>
    <cellStyle name="数字 4 32" xfId="4307"/>
    <cellStyle name="数字 4 33" xfId="4309"/>
    <cellStyle name="数字 4 34" xfId="4311"/>
    <cellStyle name="数字 4 35" xfId="4315"/>
    <cellStyle name="数字 4 36" xfId="4317"/>
    <cellStyle name="数字 4 37" xfId="4319"/>
    <cellStyle name="数字 4 38" xfId="4321"/>
    <cellStyle name="数字 4 39" xfId="4323"/>
    <cellStyle name="数字 4 4" xfId="4324"/>
    <cellStyle name="数字 4 40" xfId="4314"/>
    <cellStyle name="数字 4 41" xfId="4316"/>
    <cellStyle name="数字 4 42" xfId="4318"/>
    <cellStyle name="数字 4 43" xfId="4320"/>
    <cellStyle name="数字 4 44" xfId="4322"/>
    <cellStyle name="数字 4 45" xfId="4326"/>
    <cellStyle name="数字 4 46" xfId="4328"/>
    <cellStyle name="数字 4 47" xfId="4330"/>
    <cellStyle name="数字 4 48" xfId="4331"/>
    <cellStyle name="数字 4 49" xfId="4332"/>
    <cellStyle name="数字 4 5" xfId="4333"/>
    <cellStyle name="数字 4 50" xfId="4325"/>
    <cellStyle name="数字 4 51" xfId="4327"/>
    <cellStyle name="数字 4 52" xfId="4329"/>
    <cellStyle name="数字 4 6" xfId="4334"/>
    <cellStyle name="数字 4 7" xfId="4335"/>
    <cellStyle name="数字 4 8" xfId="4336"/>
    <cellStyle name="数字 4 9" xfId="4337"/>
    <cellStyle name="数字 40" xfId="4276"/>
    <cellStyle name="数字 41" xfId="4278"/>
    <cellStyle name="数字 42" xfId="4280"/>
    <cellStyle name="数字 43" xfId="4282"/>
    <cellStyle name="数字 44" xfId="4284"/>
    <cellStyle name="数字 45" xfId="3884"/>
    <cellStyle name="数字 46" xfId="4339"/>
    <cellStyle name="数字 47" xfId="4341"/>
    <cellStyle name="数字 48" xfId="4343"/>
    <cellStyle name="数字 49" xfId="4345"/>
    <cellStyle name="数字 5" xfId="4346"/>
    <cellStyle name="数字 5 10" xfId="4347"/>
    <cellStyle name="数字 5 11" xfId="4348"/>
    <cellStyle name="数字 5 12" xfId="4349"/>
    <cellStyle name="数字 5 13" xfId="4350"/>
    <cellStyle name="数字 5 14" xfId="4351"/>
    <cellStyle name="数字 5 15" xfId="4353"/>
    <cellStyle name="数字 5 16" xfId="4355"/>
    <cellStyle name="数字 5 17" xfId="4357"/>
    <cellStyle name="数字 5 18" xfId="4359"/>
    <cellStyle name="数字 5 19" xfId="4361"/>
    <cellStyle name="数字 5 2" xfId="4362"/>
    <cellStyle name="数字 5 20" xfId="4352"/>
    <cellStyle name="数字 5 21" xfId="4354"/>
    <cellStyle name="数字 5 22" xfId="4356"/>
    <cellStyle name="数字 5 23" xfId="4358"/>
    <cellStyle name="数字 5 24" xfId="4360"/>
    <cellStyle name="数字 5 25" xfId="4364"/>
    <cellStyle name="数字 5 26" xfId="4366"/>
    <cellStyle name="数字 5 27" xfId="4368"/>
    <cellStyle name="数字 5 28" xfId="4370"/>
    <cellStyle name="数字 5 29" xfId="4372"/>
    <cellStyle name="数字 5 3" xfId="4373"/>
    <cellStyle name="数字 5 30" xfId="4363"/>
    <cellStyle name="数字 5 31" xfId="4365"/>
    <cellStyle name="数字 5 32" xfId="4367"/>
    <cellStyle name="数字 5 33" xfId="4369"/>
    <cellStyle name="数字 5 34" xfId="4371"/>
    <cellStyle name="数字 5 35" xfId="4375"/>
    <cellStyle name="数字 5 36" xfId="4377"/>
    <cellStyle name="数字 5 37" xfId="4379"/>
    <cellStyle name="数字 5 38" xfId="4381"/>
    <cellStyle name="数字 5 39" xfId="4383"/>
    <cellStyle name="数字 5 4" xfId="4384"/>
    <cellStyle name="数字 5 40" xfId="4374"/>
    <cellStyle name="数字 5 41" xfId="4376"/>
    <cellStyle name="数字 5 42" xfId="4378"/>
    <cellStyle name="数字 5 43" xfId="4380"/>
    <cellStyle name="数字 5 44" xfId="4382"/>
    <cellStyle name="数字 5 45" xfId="4386"/>
    <cellStyle name="数字 5 46" xfId="4388"/>
    <cellStyle name="数字 5 47" xfId="4390"/>
    <cellStyle name="数字 5 48" xfId="4391"/>
    <cellStyle name="数字 5 49" xfId="4392"/>
    <cellStyle name="数字 5 5" xfId="4393"/>
    <cellStyle name="数字 5 50" xfId="4385"/>
    <cellStyle name="数字 5 51" xfId="4387"/>
    <cellStyle name="数字 5 52" xfId="4389"/>
    <cellStyle name="数字 5 6" xfId="4394"/>
    <cellStyle name="数字 5 7" xfId="4395"/>
    <cellStyle name="数字 5 8" xfId="4396"/>
    <cellStyle name="数字 5 9" xfId="4397"/>
    <cellStyle name="数字 50" xfId="3883"/>
    <cellStyle name="数字 51" xfId="4338"/>
    <cellStyle name="数字 52" xfId="4340"/>
    <cellStyle name="数字 53" xfId="4342"/>
    <cellStyle name="数字 54" xfId="4344"/>
    <cellStyle name="数字 55" xfId="4399"/>
    <cellStyle name="数字 56" xfId="4400"/>
    <cellStyle name="数字 57" xfId="4401"/>
    <cellStyle name="数字 58" xfId="4402"/>
    <cellStyle name="数字 59" xfId="4403"/>
    <cellStyle name="数字 6" xfId="4404"/>
    <cellStyle name="数字 6 10" xfId="4405"/>
    <cellStyle name="数字 6 11" xfId="4406"/>
    <cellStyle name="数字 6 12" xfId="4407"/>
    <cellStyle name="数字 6 13" xfId="4408"/>
    <cellStyle name="数字 6 14" xfId="4409"/>
    <cellStyle name="数字 6 15" xfId="4411"/>
    <cellStyle name="数字 6 16" xfId="4413"/>
    <cellStyle name="数字 6 17" xfId="4415"/>
    <cellStyle name="数字 6 18" xfId="4417"/>
    <cellStyle name="数字 6 19" xfId="4419"/>
    <cellStyle name="数字 6 2" xfId="4420"/>
    <cellStyle name="数字 6 20" xfId="4410"/>
    <cellStyle name="数字 6 21" xfId="4412"/>
    <cellStyle name="数字 6 22" xfId="4414"/>
    <cellStyle name="数字 6 23" xfId="4416"/>
    <cellStyle name="数字 6 24" xfId="4418"/>
    <cellStyle name="数字 6 25" xfId="4422"/>
    <cellStyle name="数字 6 26" xfId="4424"/>
    <cellStyle name="数字 6 27" xfId="4426"/>
    <cellStyle name="数字 6 28" xfId="4428"/>
    <cellStyle name="数字 6 29" xfId="4430"/>
    <cellStyle name="数字 6 3" xfId="4431"/>
    <cellStyle name="数字 6 30" xfId="4421"/>
    <cellStyle name="数字 6 31" xfId="4423"/>
    <cellStyle name="数字 6 32" xfId="4425"/>
    <cellStyle name="数字 6 33" xfId="4427"/>
    <cellStyle name="数字 6 34" xfId="4429"/>
    <cellStyle name="数字 6 35" xfId="4433"/>
    <cellStyle name="数字 6 36" xfId="4435"/>
    <cellStyle name="数字 6 37" xfId="1684"/>
    <cellStyle name="数字 6 38" xfId="4437"/>
    <cellStyle name="数字 6 39" xfId="4439"/>
    <cellStyle name="数字 6 4" xfId="4440"/>
    <cellStyle name="数字 6 40" xfId="4432"/>
    <cellStyle name="数字 6 41" xfId="4434"/>
    <cellStyle name="数字 6 42" xfId="1683"/>
    <cellStyle name="数字 6 43" xfId="4436"/>
    <cellStyle name="数字 6 44" xfId="4438"/>
    <cellStyle name="数字 6 45" xfId="4442"/>
    <cellStyle name="数字 6 46" xfId="4444"/>
    <cellStyle name="数字 6 47" xfId="4446"/>
    <cellStyle name="数字 6 48" xfId="4447"/>
    <cellStyle name="数字 6 49" xfId="4448"/>
    <cellStyle name="数字 6 5" xfId="4449"/>
    <cellStyle name="数字 6 50" xfId="4441"/>
    <cellStyle name="数字 6 51" xfId="4443"/>
    <cellStyle name="数字 6 52" xfId="4445"/>
    <cellStyle name="数字 6 6" xfId="4450"/>
    <cellStyle name="数字 6 7" xfId="4451"/>
    <cellStyle name="数字 6 8" xfId="4452"/>
    <cellStyle name="数字 6 9" xfId="4453"/>
    <cellStyle name="数字 60" xfId="4398"/>
    <cellStyle name="数字 7" xfId="4454"/>
    <cellStyle name="数字 7 10" xfId="4455"/>
    <cellStyle name="数字 7 11" xfId="4456"/>
    <cellStyle name="数字 7 12" xfId="4457"/>
    <cellStyle name="数字 7 13" xfId="4458"/>
    <cellStyle name="数字 7 14" xfId="4459"/>
    <cellStyle name="数字 7 15" xfId="4461"/>
    <cellStyle name="数字 7 16" xfId="4463"/>
    <cellStyle name="数字 7 17" xfId="4465"/>
    <cellStyle name="数字 7 18" xfId="4467"/>
    <cellStyle name="数字 7 19" xfId="4469"/>
    <cellStyle name="数字 7 2" xfId="4470"/>
    <cellStyle name="数字 7 20" xfId="4460"/>
    <cellStyle name="数字 7 21" xfId="4462"/>
    <cellStyle name="数字 7 22" xfId="4464"/>
    <cellStyle name="数字 7 23" xfId="4466"/>
    <cellStyle name="数字 7 24" xfId="4468"/>
    <cellStyle name="数字 7 25" xfId="4472"/>
    <cellStyle name="数字 7 26" xfId="4474"/>
    <cellStyle name="数字 7 27" xfId="4476"/>
    <cellStyle name="数字 7 28" xfId="4478"/>
    <cellStyle name="数字 7 29" xfId="4480"/>
    <cellStyle name="数字 7 3" xfId="4481"/>
    <cellStyle name="数字 7 30" xfId="4471"/>
    <cellStyle name="数字 7 31" xfId="4473"/>
    <cellStyle name="数字 7 32" xfId="4475"/>
    <cellStyle name="数字 7 33" xfId="4477"/>
    <cellStyle name="数字 7 34" xfId="4479"/>
    <cellStyle name="数字 7 35" xfId="4483"/>
    <cellStyle name="数字 7 36" xfId="4485"/>
    <cellStyle name="数字 7 37" xfId="4487"/>
    <cellStyle name="数字 7 38" xfId="4489"/>
    <cellStyle name="数字 7 39" xfId="4491"/>
    <cellStyle name="数字 7 4" xfId="4492"/>
    <cellStyle name="数字 7 40" xfId="4482"/>
    <cellStyle name="数字 7 41" xfId="4484"/>
    <cellStyle name="数字 7 42" xfId="4486"/>
    <cellStyle name="数字 7 43" xfId="4488"/>
    <cellStyle name="数字 7 44" xfId="4490"/>
    <cellStyle name="数字 7 45" xfId="4494"/>
    <cellStyle name="数字 7 46" xfId="4496"/>
    <cellStyle name="数字 7 47" xfId="4498"/>
    <cellStyle name="数字 7 48" xfId="4499"/>
    <cellStyle name="数字 7 49" xfId="4500"/>
    <cellStyle name="数字 7 5" xfId="4501"/>
    <cellStyle name="数字 7 50" xfId="4493"/>
    <cellStyle name="数字 7 51" xfId="4495"/>
    <cellStyle name="数字 7 52" xfId="4497"/>
    <cellStyle name="数字 7 6" xfId="4502"/>
    <cellStyle name="数字 7 7" xfId="4503"/>
    <cellStyle name="数字 7 8" xfId="4504"/>
    <cellStyle name="数字 7 9" xfId="4505"/>
    <cellStyle name="数字 8" xfId="4506"/>
    <cellStyle name="数字 8 10" xfId="1323"/>
    <cellStyle name="数字 8 11" xfId="1326"/>
    <cellStyle name="数字 8 12" xfId="4507"/>
    <cellStyle name="数字 8 13" xfId="4508"/>
    <cellStyle name="数字 8 14" xfId="4509"/>
    <cellStyle name="数字 8 15" xfId="4511"/>
    <cellStyle name="数字 8 16" xfId="4513"/>
    <cellStyle name="数字 8 17" xfId="4515"/>
    <cellStyle name="数字 8 18" xfId="4517"/>
    <cellStyle name="数字 8 19" xfId="4519"/>
    <cellStyle name="数字 8 2" xfId="4520"/>
    <cellStyle name="数字 8 20" xfId="4510"/>
    <cellStyle name="数字 8 21" xfId="4512"/>
    <cellStyle name="数字 8 22" xfId="4514"/>
    <cellStyle name="数字 8 23" xfId="4516"/>
    <cellStyle name="数字 8 24" xfId="4518"/>
    <cellStyle name="数字 8 25" xfId="4522"/>
    <cellStyle name="数字 8 26" xfId="4524"/>
    <cellStyle name="数字 8 27" xfId="4526"/>
    <cellStyle name="数字 8 28" xfId="4528"/>
    <cellStyle name="数字 8 29" xfId="4530"/>
    <cellStyle name="数字 8 3" xfId="4531"/>
    <cellStyle name="数字 8 30" xfId="4521"/>
    <cellStyle name="数字 8 31" xfId="4523"/>
    <cellStyle name="数字 8 32" xfId="4525"/>
    <cellStyle name="数字 8 33" xfId="4527"/>
    <cellStyle name="数字 8 34" xfId="4529"/>
    <cellStyle name="数字 8 35" xfId="4533"/>
    <cellStyle name="数字 8 36" xfId="4535"/>
    <cellStyle name="数字 8 37" xfId="4537"/>
    <cellStyle name="数字 8 38" xfId="4539"/>
    <cellStyle name="数字 8 39" xfId="4541"/>
    <cellStyle name="数字 8 4" xfId="4542"/>
    <cellStyle name="数字 8 40" xfId="4532"/>
    <cellStyle name="数字 8 41" xfId="4534"/>
    <cellStyle name="数字 8 42" xfId="4536"/>
    <cellStyle name="数字 8 43" xfId="4538"/>
    <cellStyle name="数字 8 44" xfId="4540"/>
    <cellStyle name="数字 8 45" xfId="4544"/>
    <cellStyle name="数字 8 46" xfId="4546"/>
    <cellStyle name="数字 8 47" xfId="4548"/>
    <cellStyle name="数字 8 48" xfId="4549"/>
    <cellStyle name="数字 8 49" xfId="4550"/>
    <cellStyle name="数字 8 5" xfId="4551"/>
    <cellStyle name="数字 8 50" xfId="4543"/>
    <cellStyle name="数字 8 51" xfId="4545"/>
    <cellStyle name="数字 8 52" xfId="4547"/>
    <cellStyle name="数字 8 6" xfId="4552"/>
    <cellStyle name="数字 8 7" xfId="4553"/>
    <cellStyle name="数字 8 8" xfId="4554"/>
    <cellStyle name="数字 8 9" xfId="4555"/>
    <cellStyle name="数字 9" xfId="4556"/>
    <cellStyle name="数字 9 10" xfId="4557"/>
    <cellStyle name="数字 9 11" xfId="4558"/>
    <cellStyle name="数字 9 12" xfId="4559"/>
    <cellStyle name="数字 9 13" xfId="4560"/>
    <cellStyle name="数字 9 14" xfId="4561"/>
    <cellStyle name="数字 9 15" xfId="4563"/>
    <cellStyle name="数字 9 16" xfId="4565"/>
    <cellStyle name="数字 9 17" xfId="4567"/>
    <cellStyle name="数字 9 18" xfId="4569"/>
    <cellStyle name="数字 9 19" xfId="4571"/>
    <cellStyle name="数字 9 2" xfId="4572"/>
    <cellStyle name="数字 9 20" xfId="4562"/>
    <cellStyle name="数字 9 21" xfId="4564"/>
    <cellStyle name="数字 9 22" xfId="4566"/>
    <cellStyle name="数字 9 23" xfId="4568"/>
    <cellStyle name="数字 9 24" xfId="4570"/>
    <cellStyle name="数字 9 25" xfId="4574"/>
    <cellStyle name="数字 9 26" xfId="4576"/>
    <cellStyle name="数字 9 27" xfId="4578"/>
    <cellStyle name="数字 9 28" xfId="4580"/>
    <cellStyle name="数字 9 29" xfId="4582"/>
    <cellStyle name="数字 9 3" xfId="4583"/>
    <cellStyle name="数字 9 30" xfId="4573"/>
    <cellStyle name="数字 9 31" xfId="4575"/>
    <cellStyle name="数字 9 32" xfId="4577"/>
    <cellStyle name="数字 9 33" xfId="4579"/>
    <cellStyle name="数字 9 34" xfId="4581"/>
    <cellStyle name="数字 9 35" xfId="4585"/>
    <cellStyle name="数字 9 36" xfId="4587"/>
    <cellStyle name="数字 9 37" xfId="4589"/>
    <cellStyle name="数字 9 38" xfId="237"/>
    <cellStyle name="数字 9 39" xfId="4591"/>
    <cellStyle name="数字 9 4" xfId="4592"/>
    <cellStyle name="数字 9 40" xfId="4584"/>
    <cellStyle name="数字 9 41" xfId="4586"/>
    <cellStyle name="数字 9 42" xfId="4588"/>
    <cellStyle name="数字 9 43" xfId="236"/>
    <cellStyle name="数字 9 44" xfId="4590"/>
    <cellStyle name="数字 9 45" xfId="4594"/>
    <cellStyle name="数字 9 46" xfId="4596"/>
    <cellStyle name="数字 9 47" xfId="4598"/>
    <cellStyle name="数字 9 48" xfId="4599"/>
    <cellStyle name="数字 9 49" xfId="4600"/>
    <cellStyle name="数字 9 5" xfId="4601"/>
    <cellStyle name="数字 9 50" xfId="4593"/>
    <cellStyle name="数字 9 51" xfId="4595"/>
    <cellStyle name="数字 9 52" xfId="4597"/>
    <cellStyle name="数字 9 6" xfId="4602"/>
    <cellStyle name="数字 9 7" xfId="4603"/>
    <cellStyle name="数字 9 8" xfId="4604"/>
    <cellStyle name="数字 9 9" xfId="4605"/>
    <cellStyle name="未定义" xfId="4606"/>
    <cellStyle name="小数" xfId="4607"/>
    <cellStyle name="小数 10" xfId="4608"/>
    <cellStyle name="小数 11" xfId="4609"/>
    <cellStyle name="小数 12" xfId="4610"/>
    <cellStyle name="小数 13" xfId="4611"/>
    <cellStyle name="小数 14" xfId="4612"/>
    <cellStyle name="小数 15" xfId="4614"/>
    <cellStyle name="小数 16" xfId="4616"/>
    <cellStyle name="小数 17" xfId="4618"/>
    <cellStyle name="小数 18" xfId="4620"/>
    <cellStyle name="小数 19" xfId="4622"/>
    <cellStyle name="小数 2" xfId="4623"/>
    <cellStyle name="小数 2 10" xfId="4624"/>
    <cellStyle name="小数 2 11" xfId="4625"/>
    <cellStyle name="小数 2 12" xfId="4626"/>
    <cellStyle name="小数 2 13" xfId="4627"/>
    <cellStyle name="小数 2 14" xfId="4628"/>
    <cellStyle name="小数 2 15" xfId="4630"/>
    <cellStyle name="小数 2 16" xfId="4632"/>
    <cellStyle name="小数 2 17" xfId="4634"/>
    <cellStyle name="小数 2 18" xfId="4636"/>
    <cellStyle name="小数 2 19" xfId="4638"/>
    <cellStyle name="小数 2 2" xfId="4639"/>
    <cellStyle name="小数 2 20" xfId="4629"/>
    <cellStyle name="小数 2 21" xfId="4631"/>
    <cellStyle name="小数 2 22" xfId="4633"/>
    <cellStyle name="小数 2 23" xfId="4635"/>
    <cellStyle name="小数 2 24" xfId="4637"/>
    <cellStyle name="小数 2 25" xfId="4641"/>
    <cellStyle name="小数 2 26" xfId="4643"/>
    <cellStyle name="小数 2 27" xfId="4645"/>
    <cellStyle name="小数 2 28" xfId="4647"/>
    <cellStyle name="小数 2 29" xfId="4649"/>
    <cellStyle name="小数 2 3" xfId="4650"/>
    <cellStyle name="小数 2 30" xfId="4640"/>
    <cellStyle name="小数 2 31" xfId="4642"/>
    <cellStyle name="小数 2 32" xfId="4644"/>
    <cellStyle name="小数 2 33" xfId="4646"/>
    <cellStyle name="小数 2 34" xfId="4648"/>
    <cellStyle name="小数 2 35" xfId="4652"/>
    <cellStyle name="小数 2 36" xfId="1905"/>
    <cellStyle name="小数 2 37" xfId="1910"/>
    <cellStyle name="小数 2 38" xfId="1917"/>
    <cellStyle name="小数 2 39" xfId="1931"/>
    <cellStyle name="小数 2 4" xfId="4653"/>
    <cellStyle name="小数 2 40" xfId="4651"/>
    <cellStyle name="小数 2 41" xfId="1904"/>
    <cellStyle name="小数 2 42" xfId="1909"/>
    <cellStyle name="小数 2 43" xfId="1916"/>
    <cellStyle name="小数 2 44" xfId="1930"/>
    <cellStyle name="小数 2 45" xfId="1934"/>
    <cellStyle name="小数 2 46" xfId="1937"/>
    <cellStyle name="小数 2 47" xfId="1940"/>
    <cellStyle name="小数 2 48" xfId="1942"/>
    <cellStyle name="小数 2 49" xfId="3170"/>
    <cellStyle name="小数 2 5" xfId="4654"/>
    <cellStyle name="小数 2 50" xfId="1933"/>
    <cellStyle name="小数 2 51" xfId="1936"/>
    <cellStyle name="小数 2 52" xfId="1939"/>
    <cellStyle name="小数 2 6" xfId="4655"/>
    <cellStyle name="小数 2 7" xfId="4656"/>
    <cellStyle name="小数 2 8" xfId="4657"/>
    <cellStyle name="小数 2 9" xfId="4658"/>
    <cellStyle name="小数 20" xfId="4613"/>
    <cellStyle name="小数 21" xfId="4615"/>
    <cellStyle name="小数 22" xfId="4617"/>
    <cellStyle name="小数 23" xfId="4619"/>
    <cellStyle name="小数 24" xfId="4621"/>
    <cellStyle name="小数 25" xfId="4660"/>
    <cellStyle name="小数 26" xfId="4662"/>
    <cellStyle name="小数 27" xfId="4664"/>
    <cellStyle name="小数 28" xfId="4666"/>
    <cellStyle name="小数 29" xfId="4668"/>
    <cellStyle name="小数 3" xfId="4669"/>
    <cellStyle name="小数 3 10" xfId="4670"/>
    <cellStyle name="小数 3 11" xfId="4671"/>
    <cellStyle name="小数 3 12" xfId="4672"/>
    <cellStyle name="小数 3 13" xfId="4673"/>
    <cellStyle name="小数 3 14" xfId="4674"/>
    <cellStyle name="小数 3 15" xfId="4676"/>
    <cellStyle name="小数 3 16" xfId="4678"/>
    <cellStyle name="小数 3 17" xfId="4680"/>
    <cellStyle name="小数 3 18" xfId="4682"/>
    <cellStyle name="小数 3 19" xfId="4684"/>
    <cellStyle name="小数 3 2" xfId="4685"/>
    <cellStyle name="小数 3 20" xfId="4675"/>
    <cellStyle name="小数 3 21" xfId="4677"/>
    <cellStyle name="小数 3 22" xfId="4679"/>
    <cellStyle name="小数 3 23" xfId="4681"/>
    <cellStyle name="小数 3 24" xfId="4683"/>
    <cellStyle name="小数 3 25" xfId="4687"/>
    <cellStyle name="小数 3 26" xfId="4689"/>
    <cellStyle name="小数 3 27" xfId="4691"/>
    <cellStyle name="小数 3 28" xfId="4693"/>
    <cellStyle name="小数 3 29" xfId="4695"/>
    <cellStyle name="小数 3 3" xfId="4696"/>
    <cellStyle name="小数 3 30" xfId="4686"/>
    <cellStyle name="小数 3 31" xfId="4688"/>
    <cellStyle name="小数 3 32" xfId="4690"/>
    <cellStyle name="小数 3 33" xfId="4692"/>
    <cellStyle name="小数 3 34" xfId="4694"/>
    <cellStyle name="小数 3 35" xfId="4698"/>
    <cellStyle name="小数 3 36" xfId="4700"/>
    <cellStyle name="小数 3 37" xfId="4702"/>
    <cellStyle name="小数 3 38" xfId="4704"/>
    <cellStyle name="小数 3 39" xfId="4706"/>
    <cellStyle name="小数 3 4" xfId="4707"/>
    <cellStyle name="小数 3 40" xfId="4697"/>
    <cellStyle name="小数 3 41" xfId="4699"/>
    <cellStyle name="小数 3 42" xfId="4701"/>
    <cellStyle name="小数 3 43" xfId="4703"/>
    <cellStyle name="小数 3 44" xfId="4705"/>
    <cellStyle name="小数 3 45" xfId="4709"/>
    <cellStyle name="小数 3 46" xfId="4711"/>
    <cellStyle name="小数 3 47" xfId="4713"/>
    <cellStyle name="小数 3 48" xfId="4714"/>
    <cellStyle name="小数 3 49" xfId="4715"/>
    <cellStyle name="小数 3 5" xfId="4716"/>
    <cellStyle name="小数 3 50" xfId="4708"/>
    <cellStyle name="小数 3 51" xfId="4710"/>
    <cellStyle name="小数 3 52" xfId="4712"/>
    <cellStyle name="小数 3 6" xfId="4717"/>
    <cellStyle name="小数 3 7" xfId="4718"/>
    <cellStyle name="小数 3 8" xfId="4719"/>
    <cellStyle name="小数 3 9" xfId="4720"/>
    <cellStyle name="小数 30" xfId="4659"/>
    <cellStyle name="小数 31" xfId="4661"/>
    <cellStyle name="小数 32" xfId="4663"/>
    <cellStyle name="小数 33" xfId="4665"/>
    <cellStyle name="小数 34" xfId="4667"/>
    <cellStyle name="小数 35" xfId="4722"/>
    <cellStyle name="小数 36" xfId="4724"/>
    <cellStyle name="小数 37" xfId="4726"/>
    <cellStyle name="小数 38" xfId="4728"/>
    <cellStyle name="小数 39" xfId="4730"/>
    <cellStyle name="小数 4" xfId="4731"/>
    <cellStyle name="小数 4 10" xfId="4732"/>
    <cellStyle name="小数 4 11" xfId="4733"/>
    <cellStyle name="小数 4 12" xfId="4734"/>
    <cellStyle name="小数 4 13" xfId="4735"/>
    <cellStyle name="小数 4 14" xfId="4736"/>
    <cellStyle name="小数 4 15" xfId="4738"/>
    <cellStyle name="小数 4 16" xfId="4740"/>
    <cellStyle name="小数 4 17" xfId="4742"/>
    <cellStyle name="小数 4 18" xfId="4744"/>
    <cellStyle name="小数 4 19" xfId="4746"/>
    <cellStyle name="小数 4 2" xfId="4747"/>
    <cellStyle name="小数 4 20" xfId="4737"/>
    <cellStyle name="小数 4 21" xfId="4739"/>
    <cellStyle name="小数 4 22" xfId="4741"/>
    <cellStyle name="小数 4 23" xfId="4743"/>
    <cellStyle name="小数 4 24" xfId="4745"/>
    <cellStyle name="小数 4 25" xfId="4749"/>
    <cellStyle name="小数 4 26" xfId="4751"/>
    <cellStyle name="小数 4 27" xfId="4753"/>
    <cellStyle name="小数 4 28" xfId="4755"/>
    <cellStyle name="小数 4 29" xfId="4757"/>
    <cellStyle name="小数 4 3" xfId="4758"/>
    <cellStyle name="小数 4 30" xfId="4748"/>
    <cellStyle name="小数 4 31" xfId="4750"/>
    <cellStyle name="小数 4 32" xfId="4752"/>
    <cellStyle name="小数 4 33" xfId="4754"/>
    <cellStyle name="小数 4 34" xfId="4756"/>
    <cellStyle name="小数 4 35" xfId="4760"/>
    <cellStyle name="小数 4 36" xfId="4762"/>
    <cellStyle name="小数 4 37" xfId="4764"/>
    <cellStyle name="小数 4 38" xfId="4766"/>
    <cellStyle name="小数 4 39" xfId="4768"/>
    <cellStyle name="小数 4 4" xfId="4769"/>
    <cellStyle name="小数 4 40" xfId="4759"/>
    <cellStyle name="小数 4 41" xfId="4761"/>
    <cellStyle name="小数 4 42" xfId="4763"/>
    <cellStyle name="小数 4 43" xfId="4765"/>
    <cellStyle name="小数 4 44" xfId="4767"/>
    <cellStyle name="小数 4 45" xfId="4771"/>
    <cellStyle name="小数 4 46" xfId="4773"/>
    <cellStyle name="小数 4 47" xfId="4775"/>
    <cellStyle name="小数 4 48" xfId="4776"/>
    <cellStyle name="小数 4 49" xfId="4777"/>
    <cellStyle name="小数 4 5" xfId="4778"/>
    <cellStyle name="小数 4 50" xfId="4770"/>
    <cellStyle name="小数 4 51" xfId="4772"/>
    <cellStyle name="小数 4 52" xfId="4774"/>
    <cellStyle name="小数 4 6" xfId="4779"/>
    <cellStyle name="小数 4 7" xfId="4780"/>
    <cellStyle name="小数 4 8" xfId="4781"/>
    <cellStyle name="小数 4 9" xfId="4782"/>
    <cellStyle name="小数 40" xfId="4721"/>
    <cellStyle name="小数 41" xfId="4723"/>
    <cellStyle name="小数 42" xfId="4725"/>
    <cellStyle name="小数 43" xfId="4727"/>
    <cellStyle name="小数 44" xfId="4729"/>
    <cellStyle name="小数 45" xfId="4784"/>
    <cellStyle name="小数 46" xfId="4786"/>
    <cellStyle name="小数 47" xfId="4788"/>
    <cellStyle name="小数 48" xfId="4790"/>
    <cellStyle name="小数 49" xfId="4792"/>
    <cellStyle name="小数 5" xfId="4793"/>
    <cellStyle name="小数 5 10" xfId="4794"/>
    <cellStyle name="小数 5 11" xfId="4795"/>
    <cellStyle name="小数 5 12" xfId="4796"/>
    <cellStyle name="小数 5 13" xfId="4797"/>
    <cellStyle name="小数 5 14" xfId="4798"/>
    <cellStyle name="小数 5 15" xfId="4800"/>
    <cellStyle name="小数 5 16" xfId="4802"/>
    <cellStyle name="小数 5 17" xfId="4804"/>
    <cellStyle name="小数 5 18" xfId="4806"/>
    <cellStyle name="小数 5 19" xfId="4808"/>
    <cellStyle name="小数 5 2" xfId="4809"/>
    <cellStyle name="小数 5 20" xfId="4799"/>
    <cellStyle name="小数 5 21" xfId="4801"/>
    <cellStyle name="小数 5 22" xfId="4803"/>
    <cellStyle name="小数 5 23" xfId="4805"/>
    <cellStyle name="小数 5 24" xfId="4807"/>
    <cellStyle name="小数 5 25" xfId="4811"/>
    <cellStyle name="小数 5 26" xfId="4813"/>
    <cellStyle name="小数 5 27" xfId="4815"/>
    <cellStyle name="小数 5 28" xfId="4817"/>
    <cellStyle name="小数 5 29" xfId="4819"/>
    <cellStyle name="小数 5 3" xfId="4820"/>
    <cellStyle name="小数 5 30" xfId="4810"/>
    <cellStyle name="小数 5 31" xfId="4812"/>
    <cellStyle name="小数 5 32" xfId="4814"/>
    <cellStyle name="小数 5 33" xfId="4816"/>
    <cellStyle name="小数 5 34" xfId="4818"/>
    <cellStyle name="小数 5 35" xfId="4822"/>
    <cellStyle name="小数 5 36" xfId="4824"/>
    <cellStyle name="小数 5 37" xfId="4826"/>
    <cellStyle name="小数 5 38" xfId="4828"/>
    <cellStyle name="小数 5 39" xfId="4830"/>
    <cellStyle name="小数 5 4" xfId="4831"/>
    <cellStyle name="小数 5 40" xfId="4821"/>
    <cellStyle name="小数 5 41" xfId="4823"/>
    <cellStyle name="小数 5 42" xfId="4825"/>
    <cellStyle name="小数 5 43" xfId="4827"/>
    <cellStyle name="小数 5 44" xfId="4829"/>
    <cellStyle name="小数 5 45" xfId="4833"/>
    <cellStyle name="小数 5 46" xfId="4835"/>
    <cellStyle name="小数 5 47" xfId="3902"/>
    <cellStyle name="小数 5 48" xfId="3904"/>
    <cellStyle name="小数 5 49" xfId="3912"/>
    <cellStyle name="小数 5 5" xfId="4836"/>
    <cellStyle name="小数 5 50" xfId="4832"/>
    <cellStyle name="小数 5 51" xfId="4834"/>
    <cellStyle name="小数 5 52" xfId="3901"/>
    <cellStyle name="小数 5 6" xfId="4837"/>
    <cellStyle name="小数 5 7" xfId="4838"/>
    <cellStyle name="小数 5 8" xfId="4839"/>
    <cellStyle name="小数 5 9" xfId="4840"/>
    <cellStyle name="小数 50" xfId="4783"/>
    <cellStyle name="小数 51" xfId="4785"/>
    <cellStyle name="小数 52" xfId="4787"/>
    <cellStyle name="小数 53" xfId="4789"/>
    <cellStyle name="小数 54" xfId="4791"/>
    <cellStyle name="小数 55" xfId="4842"/>
    <cellStyle name="小数 56" xfId="4843"/>
    <cellStyle name="小数 57" xfId="4844"/>
    <cellStyle name="小数 58" xfId="4845"/>
    <cellStyle name="小数 59" xfId="4846"/>
    <cellStyle name="小数 6" xfId="4847"/>
    <cellStyle name="小数 6 10" xfId="4848"/>
    <cellStyle name="小数 6 11" xfId="4849"/>
    <cellStyle name="小数 6 12" xfId="4850"/>
    <cellStyle name="小数 6 13" xfId="4851"/>
    <cellStyle name="小数 6 14" xfId="4852"/>
    <cellStyle name="小数 6 15" xfId="4854"/>
    <cellStyle name="小数 6 16" xfId="4856"/>
    <cellStyle name="小数 6 17" xfId="4858"/>
    <cellStyle name="小数 6 18" xfId="4860"/>
    <cellStyle name="小数 6 19" xfId="4862"/>
    <cellStyle name="小数 6 2" xfId="4863"/>
    <cellStyle name="小数 6 20" xfId="4853"/>
    <cellStyle name="小数 6 21" xfId="4855"/>
    <cellStyle name="小数 6 22" xfId="4857"/>
    <cellStyle name="小数 6 23" xfId="4859"/>
    <cellStyle name="小数 6 24" xfId="4861"/>
    <cellStyle name="小数 6 25" xfId="4865"/>
    <cellStyle name="小数 6 26" xfId="4867"/>
    <cellStyle name="小数 6 27" xfId="4869"/>
    <cellStyle name="小数 6 28" xfId="4871"/>
    <cellStyle name="小数 6 29" xfId="4873"/>
    <cellStyle name="小数 6 3" xfId="4874"/>
    <cellStyle name="小数 6 30" xfId="4864"/>
    <cellStyle name="小数 6 31" xfId="4866"/>
    <cellStyle name="小数 6 32" xfId="4868"/>
    <cellStyle name="小数 6 33" xfId="4870"/>
    <cellStyle name="小数 6 34" xfId="4872"/>
    <cellStyle name="小数 6 35" xfId="4876"/>
    <cellStyle name="小数 6 36" xfId="4878"/>
    <cellStyle name="小数 6 37" xfId="4880"/>
    <cellStyle name="小数 6 38" xfId="4882"/>
    <cellStyle name="小数 6 39" xfId="4884"/>
    <cellStyle name="小数 6 4" xfId="4885"/>
    <cellStyle name="小数 6 40" xfId="4875"/>
    <cellStyle name="小数 6 41" xfId="4877"/>
    <cellStyle name="小数 6 42" xfId="4879"/>
    <cellStyle name="小数 6 43" xfId="4881"/>
    <cellStyle name="小数 6 44" xfId="4883"/>
    <cellStyle name="小数 6 45" xfId="4887"/>
    <cellStyle name="小数 6 46" xfId="4889"/>
    <cellStyle name="小数 6 47" xfId="4891"/>
    <cellStyle name="小数 6 48" xfId="4892"/>
    <cellStyle name="小数 6 49" xfId="4893"/>
    <cellStyle name="小数 6 5" xfId="4894"/>
    <cellStyle name="小数 6 50" xfId="4886"/>
    <cellStyle name="小数 6 51" xfId="4888"/>
    <cellStyle name="小数 6 52" xfId="4890"/>
    <cellStyle name="小数 6 6" xfId="4895"/>
    <cellStyle name="小数 6 7" xfId="4896"/>
    <cellStyle name="小数 6 8" xfId="4897"/>
    <cellStyle name="小数 6 9" xfId="4898"/>
    <cellStyle name="小数 60" xfId="4841"/>
    <cellStyle name="小数 7" xfId="4899"/>
    <cellStyle name="小数 7 10" xfId="2269"/>
    <cellStyle name="小数 7 11" xfId="2274"/>
    <cellStyle name="小数 7 12" xfId="2278"/>
    <cellStyle name="小数 7 13" xfId="2282"/>
    <cellStyle name="小数 7 14" xfId="2287"/>
    <cellStyle name="小数 7 15" xfId="2232"/>
    <cellStyle name="小数 7 16" xfId="2294"/>
    <cellStyle name="小数 7 17" xfId="2300"/>
    <cellStyle name="小数 7 18" xfId="2307"/>
    <cellStyle name="小数 7 19" xfId="2313"/>
    <cellStyle name="小数 7 2" xfId="4900"/>
    <cellStyle name="小数 7 20" xfId="2231"/>
    <cellStyle name="小数 7 21" xfId="2293"/>
    <cellStyle name="小数 7 22" xfId="2299"/>
    <cellStyle name="小数 7 23" xfId="2306"/>
    <cellStyle name="小数 7 24" xfId="2312"/>
    <cellStyle name="小数 7 25" xfId="2318"/>
    <cellStyle name="小数 7 26" xfId="2814"/>
    <cellStyle name="小数 7 27" xfId="2819"/>
    <cellStyle name="小数 7 28" xfId="2825"/>
    <cellStyle name="小数 7 29" xfId="2831"/>
    <cellStyle name="小数 7 3" xfId="4901"/>
    <cellStyle name="小数 7 30" xfId="2317"/>
    <cellStyle name="小数 7 31" xfId="2813"/>
    <cellStyle name="小数 7 32" xfId="2818"/>
    <cellStyle name="小数 7 33" xfId="2824"/>
    <cellStyle name="小数 7 34" xfId="2830"/>
    <cellStyle name="小数 7 35" xfId="2836"/>
    <cellStyle name="小数 7 36" xfId="2841"/>
    <cellStyle name="小数 7 37" xfId="2846"/>
    <cellStyle name="小数 7 38" xfId="2439"/>
    <cellStyle name="小数 7 39" xfId="2445"/>
    <cellStyle name="小数 7 4" xfId="4902"/>
    <cellStyle name="小数 7 40" xfId="2835"/>
    <cellStyle name="小数 7 41" xfId="2840"/>
    <cellStyle name="小数 7 42" xfId="2845"/>
    <cellStyle name="小数 7 43" xfId="2438"/>
    <cellStyle name="小数 7 44" xfId="2444"/>
    <cellStyle name="小数 7 45" xfId="2450"/>
    <cellStyle name="小数 7 46" xfId="2457"/>
    <cellStyle name="小数 7 47" xfId="2460"/>
    <cellStyle name="小数 7 48" xfId="2465"/>
    <cellStyle name="小数 7 49" xfId="2469"/>
    <cellStyle name="小数 7 5" xfId="4903"/>
    <cellStyle name="小数 7 50" xfId="2449"/>
    <cellStyle name="小数 7 51" xfId="2456"/>
    <cellStyle name="小数 7 52" xfId="2459"/>
    <cellStyle name="小数 7 6" xfId="4904"/>
    <cellStyle name="小数 7 7" xfId="4905"/>
    <cellStyle name="小数 7 8" xfId="4906"/>
    <cellStyle name="小数 7 9" xfId="4907"/>
    <cellStyle name="小数 8" xfId="4908"/>
    <cellStyle name="小数 8 10" xfId="4909"/>
    <cellStyle name="小数 8 11" xfId="4910"/>
    <cellStyle name="小数 8 12" xfId="4911"/>
    <cellStyle name="小数 8 13" xfId="4912"/>
    <cellStyle name="小数 8 14" xfId="4913"/>
    <cellStyle name="小数 8 15" xfId="4915"/>
    <cellStyle name="小数 8 16" xfId="4917"/>
    <cellStyle name="小数 8 17" xfId="4919"/>
    <cellStyle name="小数 8 18" xfId="4921"/>
    <cellStyle name="小数 8 19" xfId="4923"/>
    <cellStyle name="小数 8 2" xfId="4924"/>
    <cellStyle name="小数 8 20" xfId="4914"/>
    <cellStyle name="小数 8 21" xfId="4916"/>
    <cellStyle name="小数 8 22" xfId="4918"/>
    <cellStyle name="小数 8 23" xfId="4920"/>
    <cellStyle name="小数 8 24" xfId="4922"/>
    <cellStyle name="小数 8 25" xfId="4926"/>
    <cellStyle name="小数 8 26" xfId="4928"/>
    <cellStyle name="小数 8 27" xfId="4930"/>
    <cellStyle name="小数 8 28" xfId="4932"/>
    <cellStyle name="小数 8 29" xfId="4934"/>
    <cellStyle name="小数 8 3" xfId="4935"/>
    <cellStyle name="小数 8 30" xfId="4925"/>
    <cellStyle name="小数 8 31" xfId="4927"/>
    <cellStyle name="小数 8 32" xfId="4929"/>
    <cellStyle name="小数 8 33" xfId="4931"/>
    <cellStyle name="小数 8 34" xfId="4933"/>
    <cellStyle name="小数 8 35" xfId="4937"/>
    <cellStyle name="小数 8 36" xfId="4939"/>
    <cellStyle name="小数 8 37" xfId="4941"/>
    <cellStyle name="小数 8 38" xfId="4943"/>
    <cellStyle name="小数 8 39" xfId="4945"/>
    <cellStyle name="小数 8 4" xfId="4946"/>
    <cellStyle name="小数 8 40" xfId="4936"/>
    <cellStyle name="小数 8 41" xfId="4938"/>
    <cellStyle name="小数 8 42" xfId="4940"/>
    <cellStyle name="小数 8 43" xfId="4942"/>
    <cellStyle name="小数 8 44" xfId="4944"/>
    <cellStyle name="小数 8 45" xfId="4948"/>
    <cellStyle name="小数 8 46" xfId="4950"/>
    <cellStyle name="小数 8 47" xfId="4952"/>
    <cellStyle name="小数 8 48" xfId="4953"/>
    <cellStyle name="小数 8 49" xfId="4954"/>
    <cellStyle name="小数 8 5" xfId="4955"/>
    <cellStyle name="小数 8 50" xfId="4947"/>
    <cellStyle name="小数 8 51" xfId="4949"/>
    <cellStyle name="小数 8 52" xfId="4951"/>
    <cellStyle name="小数 8 6" xfId="4956"/>
    <cellStyle name="小数 8 7" xfId="4957"/>
    <cellStyle name="小数 8 8" xfId="4958"/>
    <cellStyle name="小数 8 9" xfId="4959"/>
    <cellStyle name="小数 9" xfId="4960"/>
    <cellStyle name="小数 9 10" xfId="4961"/>
    <cellStyle name="小数 9 11" xfId="4962"/>
    <cellStyle name="小数 9 12" xfId="4963"/>
    <cellStyle name="小数 9 13" xfId="4964"/>
    <cellStyle name="小数 9 14" xfId="4965"/>
    <cellStyle name="小数 9 15" xfId="4967"/>
    <cellStyle name="小数 9 16" xfId="4969"/>
    <cellStyle name="小数 9 17" xfId="2669"/>
    <cellStyle name="小数 9 18" xfId="2673"/>
    <cellStyle name="小数 9 19" xfId="2684"/>
    <cellStyle name="小数 9 2" xfId="4970"/>
    <cellStyle name="小数 9 20" xfId="4966"/>
    <cellStyle name="小数 9 21" xfId="4968"/>
    <cellStyle name="小数 9 22" xfId="2668"/>
    <cellStyle name="小数 9 23" xfId="2672"/>
    <cellStyle name="小数 9 24" xfId="2683"/>
    <cellStyle name="小数 9 25" xfId="2689"/>
    <cellStyle name="小数 9 26" xfId="2694"/>
    <cellStyle name="小数 9 27" xfId="2699"/>
    <cellStyle name="小数 9 28" xfId="2704"/>
    <cellStyle name="小数 9 29" xfId="2709"/>
    <cellStyle name="小数 9 3" xfId="4971"/>
    <cellStyle name="小数 9 30" xfId="2688"/>
    <cellStyle name="小数 9 31" xfId="2693"/>
    <cellStyle name="小数 9 32" xfId="2698"/>
    <cellStyle name="小数 9 33" xfId="2703"/>
    <cellStyle name="小数 9 34" xfId="2708"/>
    <cellStyle name="小数 9 35" xfId="4973"/>
    <cellStyle name="小数 9 36" xfId="4975"/>
    <cellStyle name="小数 9 37" xfId="4977"/>
    <cellStyle name="小数 9 38" xfId="4979"/>
    <cellStyle name="小数 9 39" xfId="4981"/>
    <cellStyle name="小数 9 4" xfId="4982"/>
    <cellStyle name="小数 9 40" xfId="4972"/>
    <cellStyle name="小数 9 41" xfId="4974"/>
    <cellStyle name="小数 9 42" xfId="4976"/>
    <cellStyle name="小数 9 43" xfId="4978"/>
    <cellStyle name="小数 9 44" xfId="4980"/>
    <cellStyle name="小数 9 45" xfId="4984"/>
    <cellStyle name="小数 9 46" xfId="4986"/>
    <cellStyle name="小数 9 47" xfId="4988"/>
    <cellStyle name="小数 9 48" xfId="4989"/>
    <cellStyle name="小数 9 49" xfId="4990"/>
    <cellStyle name="小数 9 5" xfId="4991"/>
    <cellStyle name="小数 9 50" xfId="4983"/>
    <cellStyle name="小数 9 51" xfId="4985"/>
    <cellStyle name="小数 9 52" xfId="4987"/>
    <cellStyle name="小数 9 6" xfId="4992"/>
    <cellStyle name="小数 9 7" xfId="4993"/>
    <cellStyle name="小数 9 8" xfId="2618"/>
    <cellStyle name="小数 9 9" xfId="2621"/>
    <cellStyle name="样式 1" xfId="4994"/>
    <cellStyle name="昗弨_Pacific Region P&amp;L" xfId="4995"/>
    <cellStyle name="寘嬫愗傝 [0.00]_Region Orders (2)" xfId="4996"/>
    <cellStyle name="寘嬫愗傝_Region Orders (2)" xfId="4997"/>
    <cellStyle name="注释 10" xfId="4998"/>
    <cellStyle name="注释 2" xfId="4999"/>
    <cellStyle name="注释 2 2" xfId="5000"/>
    <cellStyle name="注释 2 3" xfId="5001"/>
    <cellStyle name="注释 2 4" xfId="5002"/>
    <cellStyle name="注释 2 5" xfId="5003"/>
    <cellStyle name="注释 2 6" xfId="5004"/>
    <cellStyle name="注释 2 7" xfId="5005"/>
    <cellStyle name="注释 2 8" xfId="5006"/>
    <cellStyle name="注释 2 9" xfId="5007"/>
    <cellStyle name="注释 3" xfId="1064"/>
    <cellStyle name="注释 3 2" xfId="5008"/>
    <cellStyle name="注释 3 3" xfId="5009"/>
    <cellStyle name="注释 3 4" xfId="5010"/>
    <cellStyle name="注释 3 5" xfId="5011"/>
    <cellStyle name="注释 3 6" xfId="5012"/>
    <cellStyle name="注释 3 7" xfId="5013"/>
    <cellStyle name="注释 4" xfId="5014"/>
    <cellStyle name="注释 4 2" xfId="5015"/>
    <cellStyle name="注释 5" xfId="5016"/>
    <cellStyle name="注释 5 2" xfId="1740"/>
    <cellStyle name="注释 6" xfId="5017"/>
    <cellStyle name="注释 6 2" xfId="3600"/>
    <cellStyle name="注释 7" xfId="5018"/>
    <cellStyle name="注释 7 2" xfId="5019"/>
    <cellStyle name="注释 8" xfId="5020"/>
    <cellStyle name="注释 8 2" xfId="5021"/>
    <cellStyle name="注释 9" xfId="5022"/>
    <cellStyle name="注释 9 2" xfId="1822"/>
    <cellStyle name="콤마 [0]_BOILER-CO1" xfId="5023"/>
    <cellStyle name="콤마_BOILER-CO1" xfId="5024"/>
    <cellStyle name="통화 [0]_BOILER-CO1" xfId="5025"/>
    <cellStyle name="통화_BOILER-CO1" xfId="5026"/>
    <cellStyle name="표준_0N-HANDLING " xfId="50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externalLink" Target="externalLinks/externalLink7.xml"/><Relationship Id="rId68" Type="http://schemas.openxmlformats.org/officeDocument/2006/relationships/externalLink" Target="externalLinks/externalLink12.xml"/><Relationship Id="rId76" Type="http://schemas.openxmlformats.org/officeDocument/2006/relationships/externalLink" Target="externalLinks/externalLink20.xml"/><Relationship Id="rId8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2.xml"/><Relationship Id="rId66" Type="http://schemas.openxmlformats.org/officeDocument/2006/relationships/externalLink" Target="externalLinks/externalLink10.xml"/><Relationship Id="rId74" Type="http://schemas.openxmlformats.org/officeDocument/2006/relationships/externalLink" Target="externalLinks/externalLink18.xml"/><Relationship Id="rId79" Type="http://schemas.openxmlformats.org/officeDocument/2006/relationships/externalLink" Target="externalLinks/externalLink23.xml"/><Relationship Id="rId87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.xml"/><Relationship Id="rId82" Type="http://schemas.openxmlformats.org/officeDocument/2006/relationships/externalLink" Target="externalLinks/externalLink26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externalLink" Target="externalLinks/externalLink8.xml"/><Relationship Id="rId69" Type="http://schemas.openxmlformats.org/officeDocument/2006/relationships/externalLink" Target="externalLinks/externalLink13.xml"/><Relationship Id="rId77" Type="http://schemas.openxmlformats.org/officeDocument/2006/relationships/externalLink" Target="externalLinks/externalLink2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16.xml"/><Relationship Id="rId80" Type="http://schemas.openxmlformats.org/officeDocument/2006/relationships/externalLink" Target="externalLinks/externalLink24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3.xml"/><Relationship Id="rId67" Type="http://schemas.openxmlformats.org/officeDocument/2006/relationships/externalLink" Target="externalLinks/externalLink1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externalLink" Target="externalLinks/externalLink6.xml"/><Relationship Id="rId70" Type="http://schemas.openxmlformats.org/officeDocument/2006/relationships/externalLink" Target="externalLinks/externalLink14.xml"/><Relationship Id="rId75" Type="http://schemas.openxmlformats.org/officeDocument/2006/relationships/externalLink" Target="externalLinks/externalLink19.xml"/><Relationship Id="rId83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4.xml"/><Relationship Id="rId65" Type="http://schemas.openxmlformats.org/officeDocument/2006/relationships/externalLink" Target="externalLinks/externalLink9.xml"/><Relationship Id="rId73" Type="http://schemas.openxmlformats.org/officeDocument/2006/relationships/externalLink" Target="externalLinks/externalLink17.xml"/><Relationship Id="rId78" Type="http://schemas.openxmlformats.org/officeDocument/2006/relationships/externalLink" Target="externalLinks/externalLink22.xml"/><Relationship Id="rId81" Type="http://schemas.openxmlformats.org/officeDocument/2006/relationships/externalLink" Target="externalLinks/externalLink25.xml"/><Relationship Id="rId86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56.0.160.17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56.0.160.17\DOCUME~1\zq\LOCALS~1\Temp\&#36130;&#25919;&#20379;&#20859;&#20154;&#21592;&#20449;&#24687;&#34920;\&#25945;&#32946;\&#27896;&#27700;&#22235;&#2001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1106&#26399;&#19987;&#19994;&#31185;&#30446;&#25253;&#21517;&#20449;&#24687;\&#24066;&#20116;&#20013;1106&#26399;&#20013;&#32423;&#22521;&#35757;&#25253;&#21517;&#34920;16&#26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56.0.160.17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"/>
      <sheetName val="00000ppy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1" type="noConversion"/>
  <pageMargins left="0.75" right="0.75" top="1" bottom="1" header="0.5" footer="0.5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/>
  </sheetPr>
  <dimension ref="A1:I25"/>
  <sheetViews>
    <sheetView zoomScale="80" zoomScaleNormal="80" workbookViewId="0">
      <selection activeCell="H6" sqref="H6"/>
    </sheetView>
  </sheetViews>
  <sheetFormatPr defaultColWidth="9" defaultRowHeight="14.25"/>
  <cols>
    <col min="1" max="1" width="32.375" style="785" customWidth="1"/>
    <col min="2" max="2" width="12" style="785" customWidth="1"/>
    <col min="3" max="3" width="10.625" style="785" customWidth="1"/>
    <col min="4" max="4" width="12.125" style="868" customWidth="1"/>
    <col min="5" max="5" width="10.625" style="785" customWidth="1"/>
    <col min="6" max="6" width="9" style="785"/>
    <col min="7" max="7" width="10.5" style="785" customWidth="1"/>
    <col min="8" max="8" width="9.75" style="785" customWidth="1"/>
    <col min="9" max="9" width="11.75" style="785" customWidth="1"/>
    <col min="10" max="16384" width="9" style="785"/>
  </cols>
  <sheetData>
    <row r="1" spans="1:9" ht="28.5" customHeight="1">
      <c r="A1" s="1067" t="s">
        <v>153</v>
      </c>
      <c r="B1" s="1067"/>
      <c r="C1" s="1067"/>
      <c r="D1" s="1067"/>
      <c r="E1" s="1066"/>
    </row>
    <row r="2" spans="1:9" ht="19.5" customHeight="1">
      <c r="A2" s="827"/>
      <c r="B2" s="827"/>
      <c r="C2" s="827"/>
      <c r="D2" s="1069" t="s">
        <v>37</v>
      </c>
      <c r="E2" s="1082"/>
    </row>
    <row r="3" spans="1:9" ht="35.25" customHeight="1">
      <c r="A3" s="828" t="s">
        <v>38</v>
      </c>
      <c r="B3" s="869" t="s">
        <v>80</v>
      </c>
      <c r="C3" s="870" t="s">
        <v>81</v>
      </c>
      <c r="D3" s="871" t="s">
        <v>82</v>
      </c>
      <c r="E3" s="829" t="s">
        <v>81</v>
      </c>
      <c r="G3" s="872"/>
      <c r="I3" s="872"/>
    </row>
    <row r="4" spans="1:9" ht="24.95" customHeight="1">
      <c r="A4" s="873" t="s">
        <v>154</v>
      </c>
      <c r="B4" s="874">
        <v>8.8800000000000004E-2</v>
      </c>
      <c r="C4" s="875">
        <v>-44.1</v>
      </c>
      <c r="D4" s="876">
        <v>0.1709</v>
      </c>
      <c r="E4" s="877">
        <v>-50.4</v>
      </c>
      <c r="G4" s="872"/>
      <c r="I4" s="872"/>
    </row>
    <row r="5" spans="1:9" ht="24.95" customHeight="1">
      <c r="A5" s="797" t="s">
        <v>155</v>
      </c>
      <c r="B5" s="834">
        <v>21.183800000000002</v>
      </c>
      <c r="C5" s="835">
        <v>5.5</v>
      </c>
      <c r="D5" s="878">
        <v>43.884099999999997</v>
      </c>
      <c r="E5" s="169">
        <v>0.2</v>
      </c>
      <c r="G5" s="872"/>
      <c r="I5" s="872"/>
    </row>
    <row r="6" spans="1:9" ht="24.95" customHeight="1">
      <c r="A6" s="797" t="s">
        <v>156</v>
      </c>
      <c r="B6" s="834">
        <v>3.5977000000000001</v>
      </c>
      <c r="C6" s="835">
        <v>32.200000000000003</v>
      </c>
      <c r="D6" s="878">
        <v>8.8475000000000001</v>
      </c>
      <c r="E6" s="169">
        <v>42.7</v>
      </c>
      <c r="G6" s="872"/>
      <c r="I6" s="872"/>
    </row>
    <row r="7" spans="1:9" ht="24.95" customHeight="1">
      <c r="A7" s="797" t="s">
        <v>157</v>
      </c>
      <c r="B7" s="834">
        <v>1.2226999999999999</v>
      </c>
      <c r="C7" s="835">
        <v>33.799999999999997</v>
      </c>
      <c r="D7" s="878">
        <v>3.5409999999999999</v>
      </c>
      <c r="E7" s="169">
        <v>25.8</v>
      </c>
      <c r="G7" s="872"/>
      <c r="I7" s="872"/>
    </row>
    <row r="8" spans="1:9" ht="24.95" customHeight="1">
      <c r="A8" s="797" t="s">
        <v>158</v>
      </c>
      <c r="B8" s="834">
        <v>1.0545</v>
      </c>
      <c r="C8" s="835">
        <v>-3.3</v>
      </c>
      <c r="D8" s="878">
        <v>2.4860000000000002</v>
      </c>
      <c r="E8" s="169">
        <v>-2.7</v>
      </c>
      <c r="G8" s="872"/>
      <c r="I8" s="872"/>
    </row>
    <row r="9" spans="1:9" ht="24.95" customHeight="1">
      <c r="A9" s="797" t="s">
        <v>159</v>
      </c>
      <c r="B9" s="834">
        <v>6.0274999999999999</v>
      </c>
      <c r="C9" s="835">
        <v>-1.8</v>
      </c>
      <c r="D9" s="878">
        <v>17.943100000000001</v>
      </c>
      <c r="E9" s="169">
        <v>17.7</v>
      </c>
      <c r="G9" s="879"/>
      <c r="I9" s="872"/>
    </row>
    <row r="10" spans="1:9" ht="24.95" customHeight="1">
      <c r="A10" s="797" t="s">
        <v>160</v>
      </c>
      <c r="B10" s="834">
        <v>28.313700000000001</v>
      </c>
      <c r="C10" s="835">
        <v>-3.9</v>
      </c>
      <c r="D10" s="878">
        <v>55.439599999999999</v>
      </c>
      <c r="E10" s="169">
        <v>-5.3</v>
      </c>
      <c r="G10" s="872"/>
      <c r="I10" s="872"/>
    </row>
    <row r="11" spans="1:9" ht="24.95" customHeight="1">
      <c r="A11" s="797" t="s">
        <v>161</v>
      </c>
      <c r="B11" s="834">
        <v>0.1782</v>
      </c>
      <c r="C11" s="835">
        <v>52.1</v>
      </c>
      <c r="D11" s="878">
        <v>0.37469999999999998</v>
      </c>
      <c r="E11" s="169">
        <v>-37.799999999999997</v>
      </c>
      <c r="G11" s="872"/>
      <c r="I11" s="872"/>
    </row>
    <row r="12" spans="1:9" ht="24.95" customHeight="1">
      <c r="A12" s="797" t="s">
        <v>162</v>
      </c>
      <c r="B12" s="834">
        <v>2.6564000000000001</v>
      </c>
      <c r="C12" s="835">
        <v>20.8</v>
      </c>
      <c r="D12" s="878">
        <v>5.4763000000000002</v>
      </c>
      <c r="E12" s="169">
        <v>7.4</v>
      </c>
      <c r="G12" s="872"/>
      <c r="I12" s="872"/>
    </row>
    <row r="13" spans="1:9" ht="24.95" customHeight="1">
      <c r="A13" s="797" t="s">
        <v>163</v>
      </c>
      <c r="B13" s="834">
        <v>0.2364</v>
      </c>
      <c r="C13" s="835">
        <v>-3.4</v>
      </c>
      <c r="D13" s="878">
        <v>0.59909999999999997</v>
      </c>
      <c r="E13" s="169">
        <v>-9.1</v>
      </c>
      <c r="G13" s="872"/>
      <c r="I13" s="872"/>
    </row>
    <row r="14" spans="1:9" ht="24.95" customHeight="1">
      <c r="A14" s="794" t="s">
        <v>164</v>
      </c>
      <c r="B14" s="834">
        <v>0.80679999999999996</v>
      </c>
      <c r="C14" s="880">
        <v>-63.2</v>
      </c>
      <c r="D14" s="878">
        <v>1.4999</v>
      </c>
      <c r="E14" s="169">
        <v>-65.900000000000006</v>
      </c>
      <c r="G14" s="872"/>
      <c r="I14" s="872"/>
    </row>
    <row r="15" spans="1:9" ht="24.95" customHeight="1">
      <c r="A15" s="794" t="s">
        <v>165</v>
      </c>
      <c r="B15" s="834">
        <v>0.5595</v>
      </c>
      <c r="C15" s="880">
        <v>2.9</v>
      </c>
      <c r="D15" s="878">
        <v>1.1691</v>
      </c>
      <c r="E15" s="169">
        <v>3.7</v>
      </c>
      <c r="G15" s="872"/>
      <c r="I15" s="872"/>
    </row>
    <row r="16" spans="1:9" ht="24.95" customHeight="1">
      <c r="A16" s="797" t="s">
        <v>166</v>
      </c>
      <c r="B16" s="834">
        <v>0.20269999999999999</v>
      </c>
      <c r="C16" s="835">
        <v>26.1</v>
      </c>
      <c r="D16" s="878">
        <v>0.41499999999999998</v>
      </c>
      <c r="E16" s="169">
        <v>-5.7</v>
      </c>
      <c r="G16" s="872"/>
      <c r="I16" s="872"/>
    </row>
    <row r="17" spans="1:9" ht="24.95" customHeight="1">
      <c r="A17" s="797" t="s">
        <v>167</v>
      </c>
      <c r="B17" s="834">
        <v>9.0489999999999995</v>
      </c>
      <c r="C17" s="835">
        <v>23.4</v>
      </c>
      <c r="D17" s="878">
        <v>19.866900000000001</v>
      </c>
      <c r="E17" s="169">
        <v>14.6</v>
      </c>
      <c r="F17" s="159"/>
      <c r="G17" s="881"/>
      <c r="I17" s="872"/>
    </row>
    <row r="18" spans="1:9" ht="24.95" customHeight="1">
      <c r="A18" s="797" t="s">
        <v>168</v>
      </c>
      <c r="B18" s="834">
        <v>0.2878</v>
      </c>
      <c r="C18" s="835">
        <v>-36.200000000000003</v>
      </c>
      <c r="D18" s="878">
        <v>0.57199999999999995</v>
      </c>
      <c r="E18" s="169">
        <v>-35.1</v>
      </c>
      <c r="F18" s="159"/>
      <c r="G18" s="872"/>
      <c r="I18" s="872"/>
    </row>
    <row r="19" spans="1:9" ht="24.95" customHeight="1">
      <c r="A19" s="797" t="s">
        <v>169</v>
      </c>
      <c r="B19" s="834">
        <v>1.4500000000000001E-2</v>
      </c>
      <c r="C19" s="835">
        <v>-59.1</v>
      </c>
      <c r="D19" s="878">
        <v>5.28E-2</v>
      </c>
      <c r="E19" s="169">
        <v>-28.1</v>
      </c>
      <c r="F19" s="159"/>
      <c r="G19" s="872"/>
      <c r="I19" s="872"/>
    </row>
    <row r="20" spans="1:9" ht="24.95" customHeight="1">
      <c r="A20" s="797" t="s">
        <v>170</v>
      </c>
      <c r="B20" s="834">
        <v>1.1472</v>
      </c>
      <c r="C20" s="835">
        <v>-8.1</v>
      </c>
      <c r="D20" s="878">
        <v>2.4397000000000002</v>
      </c>
      <c r="E20" s="169">
        <v>-4.8</v>
      </c>
      <c r="G20" s="872"/>
      <c r="I20" s="872"/>
    </row>
    <row r="21" spans="1:9" ht="24.95" customHeight="1">
      <c r="A21" s="797" t="s">
        <v>171</v>
      </c>
      <c r="B21" s="834">
        <v>0.14180000000000001</v>
      </c>
      <c r="C21" s="835">
        <v>-25.7</v>
      </c>
      <c r="D21" s="878">
        <v>0.28089999999999998</v>
      </c>
      <c r="E21" s="169">
        <v>-29.6</v>
      </c>
      <c r="G21" s="872"/>
      <c r="I21" s="872"/>
    </row>
    <row r="22" spans="1:9" ht="24.95" customHeight="1">
      <c r="A22" s="797" t="s">
        <v>172</v>
      </c>
      <c r="B22" s="834">
        <v>9.2718000000000007</v>
      </c>
      <c r="C22" s="835">
        <v>4.0999999999999996</v>
      </c>
      <c r="D22" s="878">
        <v>20.580400000000001</v>
      </c>
      <c r="E22" s="169">
        <v>2.2999999999999998</v>
      </c>
      <c r="G22" s="872"/>
      <c r="I22" s="872"/>
    </row>
    <row r="23" spans="1:9" ht="24.95" customHeight="1">
      <c r="A23" s="797" t="s">
        <v>173</v>
      </c>
      <c r="B23" s="834">
        <v>0.52700000000000002</v>
      </c>
      <c r="C23" s="835">
        <v>26.6</v>
      </c>
      <c r="D23" s="878">
        <v>1.0753999999999999</v>
      </c>
      <c r="E23" s="169">
        <v>25.6</v>
      </c>
      <c r="G23" s="872"/>
      <c r="I23" s="872"/>
    </row>
    <row r="24" spans="1:9" ht="24.95" customHeight="1">
      <c r="A24" s="844" t="s">
        <v>174</v>
      </c>
      <c r="B24" s="846">
        <v>0.59989999999999999</v>
      </c>
      <c r="C24" s="882">
        <v>10.199999999999999</v>
      </c>
      <c r="D24" s="883">
        <v>1.2109000000000001</v>
      </c>
      <c r="E24" s="172">
        <v>10.6</v>
      </c>
      <c r="G24" s="872"/>
      <c r="I24" s="872"/>
    </row>
    <row r="25" spans="1:9" ht="29.1" customHeight="1">
      <c r="A25" s="1075"/>
      <c r="B25" s="1075"/>
      <c r="C25" s="1075"/>
      <c r="D25" s="1075"/>
      <c r="E25" s="1075"/>
    </row>
  </sheetData>
  <sheetProtection password="DC9E" sheet="1" objects="1" scenarios="1"/>
  <mergeCells count="3">
    <mergeCell ref="A1:E1"/>
    <mergeCell ref="D2:E2"/>
    <mergeCell ref="A25:E25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C00000"/>
  </sheetPr>
  <dimension ref="A1:J21"/>
  <sheetViews>
    <sheetView zoomScale="80" zoomScaleNormal="80" workbookViewId="0">
      <selection activeCell="I8" sqref="I8"/>
    </sheetView>
  </sheetViews>
  <sheetFormatPr defaultColWidth="9" defaultRowHeight="14.25"/>
  <cols>
    <col min="1" max="1" width="25" style="715" customWidth="1"/>
    <col min="2" max="2" width="10.625" style="715" customWidth="1"/>
    <col min="3" max="3" width="12" style="715" customWidth="1"/>
    <col min="4" max="4" width="10.625" style="715" customWidth="1"/>
    <col min="5" max="5" width="12.125" style="802" customWidth="1"/>
    <col min="6" max="6" width="10.625" style="715" customWidth="1"/>
    <col min="7" max="7" width="9" style="715"/>
    <col min="8" max="8" width="10.5" style="715" customWidth="1"/>
    <col min="9" max="9" width="9.75" style="715" customWidth="1"/>
    <col min="10" max="10" width="11.75" style="715" customWidth="1"/>
    <col min="11" max="16384" width="9" style="715"/>
  </cols>
  <sheetData>
    <row r="1" spans="1:10" ht="28.5" customHeight="1">
      <c r="A1" s="1079" t="s">
        <v>175</v>
      </c>
      <c r="B1" s="1079"/>
      <c r="C1" s="1079"/>
      <c r="D1" s="1079"/>
      <c r="E1" s="1079"/>
      <c r="F1" s="1078"/>
    </row>
    <row r="2" spans="1:10" ht="19.5" customHeight="1">
      <c r="A2" s="803"/>
      <c r="B2" s="803"/>
      <c r="C2" s="803"/>
      <c r="D2" s="803"/>
      <c r="E2" s="1083"/>
      <c r="F2" s="1083"/>
    </row>
    <row r="3" spans="1:10" ht="35.25" customHeight="1">
      <c r="A3" s="804" t="s">
        <v>38</v>
      </c>
      <c r="B3" s="804" t="s">
        <v>107</v>
      </c>
      <c r="C3" s="805" t="s">
        <v>80</v>
      </c>
      <c r="D3" s="806" t="s">
        <v>81</v>
      </c>
      <c r="E3" s="850" t="s">
        <v>82</v>
      </c>
      <c r="F3" s="806" t="s">
        <v>81</v>
      </c>
      <c r="H3" s="737"/>
      <c r="J3" s="737"/>
    </row>
    <row r="4" spans="1:10" ht="26.1" customHeight="1">
      <c r="A4" s="732" t="s">
        <v>176</v>
      </c>
      <c r="B4" s="727" t="s">
        <v>69</v>
      </c>
      <c r="C4" s="854">
        <v>0.19600000000000001</v>
      </c>
      <c r="D4" s="852">
        <v>429.7</v>
      </c>
      <c r="E4" s="854">
        <v>0.19600000000000001</v>
      </c>
      <c r="F4" s="853">
        <v>75</v>
      </c>
      <c r="H4" s="737"/>
      <c r="J4" s="737"/>
    </row>
    <row r="5" spans="1:10" ht="26.1" customHeight="1">
      <c r="A5" s="732" t="s">
        <v>177</v>
      </c>
      <c r="B5" s="727" t="s">
        <v>69</v>
      </c>
      <c r="C5" s="854">
        <v>16.742799999999999</v>
      </c>
      <c r="D5" s="852">
        <v>14.8</v>
      </c>
      <c r="E5" s="854">
        <v>38.9636</v>
      </c>
      <c r="F5" s="853">
        <v>23</v>
      </c>
      <c r="H5" s="737"/>
      <c r="J5" s="737"/>
    </row>
    <row r="6" spans="1:10" ht="26.1" customHeight="1">
      <c r="A6" s="732" t="s">
        <v>178</v>
      </c>
      <c r="B6" s="727" t="s">
        <v>69</v>
      </c>
      <c r="C6" s="854">
        <v>3.4739</v>
      </c>
      <c r="D6" s="852">
        <v>95.6</v>
      </c>
      <c r="E6" s="854">
        <v>8.3388000000000009</v>
      </c>
      <c r="F6" s="853">
        <v>67.400000000000006</v>
      </c>
      <c r="H6" s="737"/>
      <c r="J6" s="737"/>
    </row>
    <row r="7" spans="1:10" ht="26.1" customHeight="1">
      <c r="A7" s="732" t="s">
        <v>179</v>
      </c>
      <c r="B7" s="727" t="s">
        <v>69</v>
      </c>
      <c r="C7" s="854">
        <v>0.30030000000000001</v>
      </c>
      <c r="D7" s="852">
        <v>-19.3</v>
      </c>
      <c r="E7" s="854">
        <v>0.93210000000000004</v>
      </c>
      <c r="F7" s="853">
        <v>-14.3</v>
      </c>
      <c r="H7" s="737"/>
      <c r="J7" s="737"/>
    </row>
    <row r="8" spans="1:10" ht="26.1" customHeight="1">
      <c r="A8" s="732" t="s">
        <v>180</v>
      </c>
      <c r="B8" s="727" t="s">
        <v>69</v>
      </c>
      <c r="C8" s="854">
        <v>1.2157</v>
      </c>
      <c r="D8" s="852">
        <v>-13</v>
      </c>
      <c r="E8" s="854">
        <v>2.4809000000000001</v>
      </c>
      <c r="F8" s="853">
        <v>-7.2</v>
      </c>
      <c r="H8" s="737"/>
      <c r="J8" s="737"/>
    </row>
    <row r="9" spans="1:10" ht="26.1" customHeight="1">
      <c r="A9" s="721" t="s">
        <v>181</v>
      </c>
      <c r="B9" s="727" t="s">
        <v>69</v>
      </c>
      <c r="C9" s="854">
        <v>18.395199999999999</v>
      </c>
      <c r="D9" s="855">
        <v>-10.1</v>
      </c>
      <c r="E9" s="854">
        <v>43.244100000000003</v>
      </c>
      <c r="F9" s="853">
        <v>-1.4</v>
      </c>
      <c r="H9" s="737"/>
      <c r="J9" s="737"/>
    </row>
    <row r="10" spans="1:10" ht="26.1" customHeight="1">
      <c r="A10" s="732" t="s">
        <v>182</v>
      </c>
      <c r="B10" s="727" t="s">
        <v>69</v>
      </c>
      <c r="C10" s="854">
        <v>0.42570000000000002</v>
      </c>
      <c r="D10" s="852">
        <v>-26.1</v>
      </c>
      <c r="E10" s="854">
        <v>0.98609999999999998</v>
      </c>
      <c r="F10" s="853">
        <v>-40</v>
      </c>
      <c r="G10" s="733"/>
      <c r="H10" s="818"/>
      <c r="J10" s="737"/>
    </row>
    <row r="11" spans="1:10" ht="26.1" customHeight="1">
      <c r="A11" s="732" t="s">
        <v>183</v>
      </c>
      <c r="B11" s="727" t="s">
        <v>184</v>
      </c>
      <c r="C11" s="856">
        <v>10653</v>
      </c>
      <c r="D11" s="852">
        <v>17.600000000000001</v>
      </c>
      <c r="E11" s="857">
        <v>18573</v>
      </c>
      <c r="F11" s="853">
        <v>63</v>
      </c>
      <c r="H11" s="737"/>
      <c r="J11" s="737"/>
    </row>
    <row r="12" spans="1:10" ht="26.1" customHeight="1">
      <c r="A12" s="732" t="s">
        <v>185</v>
      </c>
      <c r="B12" s="727" t="s">
        <v>184</v>
      </c>
      <c r="C12" s="856">
        <v>10328</v>
      </c>
      <c r="D12" s="852">
        <v>4.3</v>
      </c>
      <c r="E12" s="857">
        <v>29670</v>
      </c>
      <c r="F12" s="853">
        <v>7.1</v>
      </c>
      <c r="H12" s="737"/>
      <c r="J12" s="737"/>
    </row>
    <row r="13" spans="1:10" ht="26.1" customHeight="1">
      <c r="A13" s="732" t="s">
        <v>186</v>
      </c>
      <c r="B13" s="727" t="s">
        <v>184</v>
      </c>
      <c r="C13" s="856">
        <v>1918</v>
      </c>
      <c r="D13" s="852">
        <v>-30.4</v>
      </c>
      <c r="E13" s="857">
        <v>4250</v>
      </c>
      <c r="F13" s="853">
        <v>-25</v>
      </c>
      <c r="H13" s="737"/>
      <c r="J13" s="737"/>
    </row>
    <row r="14" spans="1:10" ht="29.1" customHeight="1">
      <c r="A14" s="732" t="s">
        <v>187</v>
      </c>
      <c r="B14" s="727" t="s">
        <v>184</v>
      </c>
      <c r="C14" s="856">
        <v>8001</v>
      </c>
      <c r="D14" s="852">
        <v>19.3</v>
      </c>
      <c r="E14" s="857">
        <v>22618</v>
      </c>
      <c r="F14" s="853">
        <v>18.7</v>
      </c>
    </row>
    <row r="15" spans="1:10" ht="24.95" customHeight="1">
      <c r="A15" s="858" t="s">
        <v>188</v>
      </c>
      <c r="B15" s="727" t="s">
        <v>69</v>
      </c>
      <c r="C15" s="854">
        <v>0.1101</v>
      </c>
      <c r="D15" s="859">
        <v>29</v>
      </c>
      <c r="E15" s="854">
        <v>0.17710000000000001</v>
      </c>
      <c r="F15" s="860">
        <v>0.2</v>
      </c>
    </row>
    <row r="16" spans="1:10" ht="24.95" customHeight="1">
      <c r="A16" s="715" t="s">
        <v>189</v>
      </c>
      <c r="B16" s="727" t="s">
        <v>69</v>
      </c>
      <c r="C16" s="854">
        <v>2.5129999999999999</v>
      </c>
      <c r="D16" s="859">
        <v>-9.5</v>
      </c>
      <c r="E16" s="854">
        <v>6.4435000000000002</v>
      </c>
      <c r="F16" s="860">
        <v>-4</v>
      </c>
    </row>
    <row r="17" spans="1:6" ht="24.95" customHeight="1">
      <c r="A17" s="721" t="s">
        <v>190</v>
      </c>
      <c r="B17" s="727" t="s">
        <v>69</v>
      </c>
      <c r="C17" s="854">
        <v>0.67410000000000003</v>
      </c>
      <c r="D17" s="855">
        <v>-14.3</v>
      </c>
      <c r="E17" s="854">
        <v>2.7785000000000002</v>
      </c>
      <c r="F17" s="860">
        <v>5.5</v>
      </c>
    </row>
    <row r="18" spans="1:6" ht="24.95" customHeight="1">
      <c r="A18" s="721" t="s">
        <v>191</v>
      </c>
      <c r="B18" s="727" t="s">
        <v>192</v>
      </c>
      <c r="C18" s="851">
        <v>3.7502</v>
      </c>
      <c r="D18" s="855">
        <v>-35.9</v>
      </c>
      <c r="E18" s="851">
        <v>23.5002</v>
      </c>
      <c r="F18" s="860">
        <v>-2</v>
      </c>
    </row>
    <row r="19" spans="1:6" ht="24.95" customHeight="1">
      <c r="A19" s="721" t="s">
        <v>193</v>
      </c>
      <c r="B19" s="727" t="s">
        <v>69</v>
      </c>
      <c r="C19" s="854">
        <v>7.9299999999999995E-2</v>
      </c>
      <c r="D19" s="855">
        <v>15.4</v>
      </c>
      <c r="E19" s="854">
        <v>0.1951</v>
      </c>
      <c r="F19" s="860">
        <v>14.2</v>
      </c>
    </row>
    <row r="20" spans="1:6" ht="24.95" customHeight="1">
      <c r="A20" s="861" t="s">
        <v>194</v>
      </c>
      <c r="B20" s="862" t="s">
        <v>195</v>
      </c>
      <c r="C20" s="856">
        <v>2228</v>
      </c>
      <c r="D20" s="855">
        <v>20.3</v>
      </c>
      <c r="E20" s="857">
        <v>5309</v>
      </c>
      <c r="F20" s="860">
        <v>24.7</v>
      </c>
    </row>
    <row r="21" spans="1:6" ht="24.95" customHeight="1">
      <c r="A21" s="863" t="s">
        <v>196</v>
      </c>
      <c r="B21" s="820" t="s">
        <v>197</v>
      </c>
      <c r="C21" s="864">
        <v>34</v>
      </c>
      <c r="D21" s="865">
        <v>3.3</v>
      </c>
      <c r="E21" s="866">
        <v>72</v>
      </c>
      <c r="F21" s="867">
        <v>9.4</v>
      </c>
    </row>
  </sheetData>
  <sheetProtection password="DC9E" sheet="1" objects="1" scenarios="1"/>
  <mergeCells count="2">
    <mergeCell ref="A1:F1"/>
    <mergeCell ref="E2:F2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/>
  </sheetPr>
  <dimension ref="A1:J27"/>
  <sheetViews>
    <sheetView topLeftCell="A2" zoomScale="80" zoomScaleNormal="80" workbookViewId="0">
      <selection activeCell="K15" sqref="K15"/>
    </sheetView>
  </sheetViews>
  <sheetFormatPr defaultColWidth="9" defaultRowHeight="14.25"/>
  <cols>
    <col min="1" max="1" width="25" style="825" customWidth="1"/>
    <col min="2" max="2" width="10.625" style="785" customWidth="1"/>
    <col min="3" max="3" width="12" style="825" customWidth="1"/>
    <col min="4" max="4" width="10.625" style="825" customWidth="1"/>
    <col min="5" max="5" width="12.125" style="826" customWidth="1"/>
    <col min="6" max="6" width="10.625" style="825" customWidth="1"/>
    <col min="7" max="7" width="9" style="825"/>
    <col min="8" max="8" width="10.5" style="825" customWidth="1"/>
    <col min="9" max="9" width="9.75" style="825" customWidth="1"/>
    <col min="10" max="10" width="11.75" style="825" customWidth="1"/>
    <col min="11" max="16384" width="9" style="825"/>
  </cols>
  <sheetData>
    <row r="1" spans="1:10" ht="28.5" customHeight="1">
      <c r="A1" s="1066" t="s">
        <v>198</v>
      </c>
      <c r="B1" s="1067"/>
      <c r="C1" s="1067"/>
      <c r="D1" s="1067"/>
      <c r="E1" s="1068"/>
      <c r="F1" s="1068"/>
    </row>
    <row r="2" spans="1:10" ht="19.5" customHeight="1">
      <c r="A2" s="827"/>
      <c r="B2" s="827"/>
      <c r="C2" s="827"/>
      <c r="D2" s="827"/>
      <c r="E2" s="1084"/>
      <c r="F2" s="1084"/>
    </row>
    <row r="3" spans="1:10" ht="35.25" customHeight="1">
      <c r="A3" s="828" t="s">
        <v>38</v>
      </c>
      <c r="B3" s="828" t="s">
        <v>107</v>
      </c>
      <c r="C3" s="788" t="s">
        <v>80</v>
      </c>
      <c r="D3" s="829" t="s">
        <v>81</v>
      </c>
      <c r="E3" s="830" t="s">
        <v>82</v>
      </c>
      <c r="F3" s="829" t="s">
        <v>81</v>
      </c>
      <c r="G3" s="785"/>
      <c r="H3" s="831"/>
      <c r="J3" s="831"/>
    </row>
    <row r="4" spans="1:10" ht="24.95" customHeight="1">
      <c r="A4" s="832" t="s">
        <v>199</v>
      </c>
      <c r="B4" s="833" t="s">
        <v>69</v>
      </c>
      <c r="C4" s="834">
        <v>4.4082999999999997</v>
      </c>
      <c r="D4" s="835">
        <v>15.3</v>
      </c>
      <c r="E4" s="836">
        <v>6.5015999999999998</v>
      </c>
      <c r="F4" s="837">
        <v>16.7</v>
      </c>
      <c r="G4" s="785"/>
      <c r="H4" s="831"/>
      <c r="J4" s="831"/>
    </row>
    <row r="5" spans="1:10" ht="24.95" customHeight="1">
      <c r="A5" s="832" t="s">
        <v>200</v>
      </c>
      <c r="B5" s="833" t="s">
        <v>201</v>
      </c>
      <c r="C5" s="834">
        <v>5.1634000000000002</v>
      </c>
      <c r="D5" s="835">
        <v>35.9</v>
      </c>
      <c r="E5" s="836">
        <v>14.4552</v>
      </c>
      <c r="F5" s="837">
        <v>57.2</v>
      </c>
      <c r="G5" s="785"/>
      <c r="H5" s="831"/>
      <c r="J5" s="831"/>
    </row>
    <row r="6" spans="1:10" ht="24.95" customHeight="1">
      <c r="A6" s="797" t="s">
        <v>202</v>
      </c>
      <c r="B6" s="838" t="s">
        <v>197</v>
      </c>
      <c r="C6" s="834">
        <v>15.2994</v>
      </c>
      <c r="D6" s="839">
        <v>-12.4</v>
      </c>
      <c r="E6" s="836">
        <v>41.745899999999999</v>
      </c>
      <c r="F6" s="837">
        <v>-1.6</v>
      </c>
      <c r="G6" s="785"/>
      <c r="H6" s="831"/>
      <c r="J6" s="831"/>
    </row>
    <row r="7" spans="1:10" ht="24.95" customHeight="1">
      <c r="A7" s="797" t="s">
        <v>203</v>
      </c>
      <c r="B7" s="833" t="s">
        <v>69</v>
      </c>
      <c r="C7" s="834">
        <v>4.5288000000000004</v>
      </c>
      <c r="D7" s="839">
        <v>2</v>
      </c>
      <c r="E7" s="836">
        <v>8.7403999999999993</v>
      </c>
      <c r="F7" s="837">
        <v>4.4000000000000004</v>
      </c>
      <c r="G7" s="785"/>
      <c r="H7" s="831"/>
      <c r="J7" s="831"/>
    </row>
    <row r="8" spans="1:10" ht="24.95" customHeight="1">
      <c r="A8" s="797" t="s">
        <v>204</v>
      </c>
      <c r="B8" s="833" t="s">
        <v>69</v>
      </c>
      <c r="C8" s="834">
        <v>17.5</v>
      </c>
      <c r="D8" s="839">
        <v>19.600000000000001</v>
      </c>
      <c r="E8" s="836">
        <v>26.069900000000001</v>
      </c>
      <c r="F8" s="837">
        <v>22.8</v>
      </c>
      <c r="G8" s="785"/>
      <c r="H8" s="831"/>
      <c r="J8" s="831"/>
    </row>
    <row r="9" spans="1:10" ht="24.95" customHeight="1">
      <c r="A9" s="797" t="s">
        <v>205</v>
      </c>
      <c r="B9" s="833" t="s">
        <v>69</v>
      </c>
      <c r="C9" s="834">
        <v>38.238300000000002</v>
      </c>
      <c r="D9" s="839">
        <v>6.2</v>
      </c>
      <c r="E9" s="836">
        <v>82.5505</v>
      </c>
      <c r="F9" s="837">
        <v>4.9000000000000004</v>
      </c>
      <c r="G9" s="785"/>
      <c r="H9" s="831"/>
      <c r="J9" s="831"/>
    </row>
    <row r="10" spans="1:10" ht="24.95" customHeight="1">
      <c r="A10" s="797" t="s">
        <v>206</v>
      </c>
      <c r="B10" s="833" t="s">
        <v>69</v>
      </c>
      <c r="C10" s="834">
        <v>14.6303</v>
      </c>
      <c r="D10" s="839">
        <v>7.8</v>
      </c>
      <c r="E10" s="836">
        <v>30.112100000000002</v>
      </c>
      <c r="F10" s="837">
        <v>1</v>
      </c>
      <c r="G10" s="785"/>
      <c r="H10" s="831"/>
      <c r="J10" s="831"/>
    </row>
    <row r="11" spans="1:10" ht="24.95" customHeight="1">
      <c r="A11" s="840" t="s">
        <v>207</v>
      </c>
      <c r="B11" s="841" t="s">
        <v>69</v>
      </c>
      <c r="C11" s="834">
        <v>16.534099999999999</v>
      </c>
      <c r="D11" s="839">
        <v>7.8</v>
      </c>
      <c r="E11" s="836">
        <v>33.646299999999997</v>
      </c>
      <c r="F11" s="837">
        <v>5</v>
      </c>
      <c r="G11" s="785"/>
      <c r="H11" s="831"/>
      <c r="J11" s="831"/>
    </row>
    <row r="12" spans="1:10" ht="24.95" customHeight="1">
      <c r="A12" s="797" t="s">
        <v>208</v>
      </c>
      <c r="B12" s="833" t="s">
        <v>69</v>
      </c>
      <c r="C12" s="834">
        <v>0.85580000000000001</v>
      </c>
      <c r="D12" s="839">
        <v>1405.6</v>
      </c>
      <c r="E12" s="836">
        <v>2.0373999999999999</v>
      </c>
      <c r="F12" s="837">
        <v>720.7</v>
      </c>
      <c r="G12" s="785"/>
      <c r="H12" s="831"/>
      <c r="J12" s="831"/>
    </row>
    <row r="13" spans="1:10" ht="24.95" customHeight="1">
      <c r="A13" s="797" t="s">
        <v>209</v>
      </c>
      <c r="B13" s="833" t="s">
        <v>69</v>
      </c>
      <c r="C13" s="834">
        <v>0.2379</v>
      </c>
      <c r="D13" s="839">
        <v>100</v>
      </c>
      <c r="E13" s="836">
        <v>0.69969999999999999</v>
      </c>
      <c r="F13" s="837">
        <v>46.1</v>
      </c>
      <c r="G13" s="785"/>
      <c r="H13" s="831"/>
      <c r="J13" s="831"/>
    </row>
    <row r="14" spans="1:10" ht="24.95" customHeight="1">
      <c r="A14" s="797" t="s">
        <v>210</v>
      </c>
      <c r="B14" s="833" t="s">
        <v>69</v>
      </c>
      <c r="C14" s="834">
        <v>0.1777</v>
      </c>
      <c r="D14" s="839">
        <v>100</v>
      </c>
      <c r="E14" s="836">
        <v>3.5068999999999999</v>
      </c>
      <c r="F14" s="837">
        <v>180.4</v>
      </c>
      <c r="G14" s="785"/>
      <c r="H14" s="831"/>
      <c r="J14" s="831"/>
    </row>
    <row r="15" spans="1:10" ht="24.95" customHeight="1">
      <c r="A15" s="797" t="s">
        <v>211</v>
      </c>
      <c r="B15" s="833" t="s">
        <v>69</v>
      </c>
      <c r="C15" s="834">
        <v>2.1663999999999999</v>
      </c>
      <c r="D15" s="839">
        <v>-5</v>
      </c>
      <c r="E15" s="836">
        <v>4.5727000000000002</v>
      </c>
      <c r="F15" s="837">
        <v>-7</v>
      </c>
      <c r="G15" s="785"/>
      <c r="H15" s="831"/>
      <c r="J15" s="831"/>
    </row>
    <row r="16" spans="1:10" ht="24.95" customHeight="1">
      <c r="A16" s="794" t="s">
        <v>212</v>
      </c>
      <c r="B16" s="833" t="s">
        <v>69</v>
      </c>
      <c r="C16" s="834">
        <v>3.4432999999999998</v>
      </c>
      <c r="D16" s="842">
        <v>23.1</v>
      </c>
      <c r="E16" s="836">
        <v>6.2969999999999997</v>
      </c>
      <c r="F16" s="837">
        <v>65.099999999999994</v>
      </c>
      <c r="G16" s="785"/>
      <c r="H16" s="831"/>
      <c r="J16" s="831"/>
    </row>
    <row r="17" spans="1:10" ht="24.95" customHeight="1">
      <c r="A17" s="797" t="s">
        <v>213</v>
      </c>
      <c r="B17" s="833" t="s">
        <v>69</v>
      </c>
      <c r="C17" s="834">
        <v>9.3399999999999997E-2</v>
      </c>
      <c r="D17" s="839">
        <v>0</v>
      </c>
      <c r="E17" s="836">
        <v>0.151</v>
      </c>
      <c r="F17" s="837">
        <v>108</v>
      </c>
      <c r="G17" s="785"/>
      <c r="H17" s="831"/>
      <c r="J17" s="831"/>
    </row>
    <row r="18" spans="1:10" ht="24.95" customHeight="1">
      <c r="A18" s="797" t="s">
        <v>214</v>
      </c>
      <c r="B18" s="833" t="s">
        <v>69</v>
      </c>
      <c r="C18" s="834">
        <v>1.2726</v>
      </c>
      <c r="D18" s="839">
        <v>-3.5</v>
      </c>
      <c r="E18" s="836">
        <v>2.7366999999999999</v>
      </c>
      <c r="F18" s="837">
        <v>20.100000000000001</v>
      </c>
      <c r="G18" s="785"/>
      <c r="H18" s="831"/>
      <c r="J18" s="831"/>
    </row>
    <row r="19" spans="1:10" ht="24.95" customHeight="1">
      <c r="A19" s="797" t="s">
        <v>215</v>
      </c>
      <c r="B19" s="833" t="s">
        <v>69</v>
      </c>
      <c r="C19" s="834">
        <v>1.8043</v>
      </c>
      <c r="D19" s="839">
        <v>11.2</v>
      </c>
      <c r="E19" s="836">
        <v>3.8660000000000001</v>
      </c>
      <c r="F19" s="837">
        <v>36.6</v>
      </c>
      <c r="G19" s="785"/>
      <c r="H19" s="831"/>
      <c r="J19" s="831"/>
    </row>
    <row r="20" spans="1:10" ht="24.95" customHeight="1">
      <c r="A20" s="797" t="s">
        <v>216</v>
      </c>
      <c r="B20" s="833" t="s">
        <v>69</v>
      </c>
      <c r="C20" s="834">
        <v>1.6516</v>
      </c>
      <c r="D20" s="839">
        <v>25.5</v>
      </c>
      <c r="E20" s="836">
        <v>3.2393000000000001</v>
      </c>
      <c r="F20" s="837">
        <v>1.8</v>
      </c>
      <c r="G20" s="785"/>
      <c r="H20" s="831"/>
      <c r="J20" s="831"/>
    </row>
    <row r="21" spans="1:10" ht="24.95" customHeight="1">
      <c r="A21" s="797" t="s">
        <v>217</v>
      </c>
      <c r="B21" s="833" t="s">
        <v>69</v>
      </c>
      <c r="C21" s="834">
        <v>4.65E-2</v>
      </c>
      <c r="D21" s="839">
        <v>40</v>
      </c>
      <c r="E21" s="836">
        <v>0.12379999999999999</v>
      </c>
      <c r="F21" s="837">
        <v>8.5</v>
      </c>
      <c r="G21" s="159"/>
      <c r="H21" s="843"/>
      <c r="J21" s="831"/>
    </row>
    <row r="22" spans="1:10" ht="24.95" customHeight="1">
      <c r="A22" s="797" t="s">
        <v>218</v>
      </c>
      <c r="B22" s="833" t="s">
        <v>69</v>
      </c>
      <c r="C22" s="834">
        <v>0</v>
      </c>
      <c r="D22" s="839">
        <v>0</v>
      </c>
      <c r="E22" s="836">
        <v>0</v>
      </c>
      <c r="F22" s="837">
        <v>0</v>
      </c>
      <c r="G22" s="159"/>
      <c r="H22" s="831"/>
      <c r="J22" s="831"/>
    </row>
    <row r="23" spans="1:10" ht="24.95" customHeight="1">
      <c r="A23" s="844" t="s">
        <v>219</v>
      </c>
      <c r="B23" s="845" t="s">
        <v>69</v>
      </c>
      <c r="C23" s="846">
        <v>4.48E-2</v>
      </c>
      <c r="D23" s="847">
        <v>-7.8</v>
      </c>
      <c r="E23" s="848">
        <v>0.1008</v>
      </c>
      <c r="F23" s="849">
        <v>8.8000000000000007</v>
      </c>
      <c r="G23" s="159"/>
      <c r="H23" s="831"/>
      <c r="J23" s="831"/>
    </row>
    <row r="24" spans="1:10" ht="26.1" customHeight="1">
      <c r="E24" s="825"/>
      <c r="H24" s="831"/>
      <c r="J24" s="831"/>
    </row>
    <row r="25" spans="1:10" ht="26.1" customHeight="1">
      <c r="E25" s="825"/>
      <c r="H25" s="831"/>
      <c r="J25" s="831"/>
    </row>
    <row r="26" spans="1:10" ht="26.1" customHeight="1">
      <c r="E26" s="825"/>
      <c r="H26" s="831"/>
      <c r="J26" s="831"/>
    </row>
    <row r="27" spans="1:10" ht="29.1" customHeight="1">
      <c r="A27" s="1075"/>
      <c r="B27" s="1075"/>
      <c r="C27" s="1075"/>
      <c r="D27" s="1075"/>
      <c r="E27" s="1075"/>
      <c r="F27" s="1075"/>
    </row>
  </sheetData>
  <sheetProtection password="DC9E" sheet="1" objects="1" scenarios="1"/>
  <mergeCells count="3">
    <mergeCell ref="A1:F1"/>
    <mergeCell ref="E2:F2"/>
    <mergeCell ref="A27:F27"/>
  </mergeCells>
  <phoneticPr fontId="11" type="noConversion"/>
  <pageMargins left="0.75" right="0.75" top="1" bottom="1" header="0.5" footer="0.5"/>
  <pageSetup paperSize="9" scale="98" orientation="portrait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5"/>
  </sheetPr>
  <dimension ref="A1:J27"/>
  <sheetViews>
    <sheetView zoomScale="80" zoomScaleNormal="80" workbookViewId="0">
      <selection activeCell="J9" sqref="J9"/>
    </sheetView>
  </sheetViews>
  <sheetFormatPr defaultColWidth="9" defaultRowHeight="14.25"/>
  <cols>
    <col min="1" max="1" width="25" style="715" customWidth="1"/>
    <col min="2" max="2" width="10.625" style="715" customWidth="1"/>
    <col min="3" max="3" width="12" style="715" customWidth="1"/>
    <col min="4" max="4" width="10.625" style="715" customWidth="1"/>
    <col min="5" max="5" width="12.125" style="802" customWidth="1"/>
    <col min="6" max="6" width="10.625" style="715" customWidth="1"/>
    <col min="7" max="7" width="9" style="715"/>
    <col min="8" max="8" width="10.5" style="715" customWidth="1"/>
    <col min="9" max="9" width="9.75" style="715" customWidth="1"/>
    <col min="10" max="10" width="11.75" style="715" customWidth="1"/>
    <col min="11" max="16384" width="9" style="715"/>
  </cols>
  <sheetData>
    <row r="1" spans="1:10" ht="28.5" customHeight="1">
      <c r="A1" s="1078" t="s">
        <v>220</v>
      </c>
      <c r="B1" s="1079"/>
      <c r="C1" s="1079"/>
      <c r="D1" s="1079"/>
      <c r="E1" s="1080"/>
      <c r="F1" s="1080"/>
    </row>
    <row r="2" spans="1:10" ht="19.5" customHeight="1">
      <c r="A2" s="803"/>
      <c r="B2" s="803"/>
      <c r="C2" s="803"/>
      <c r="D2" s="803"/>
      <c r="E2" s="1085"/>
      <c r="F2" s="1085"/>
    </row>
    <row r="3" spans="1:10" ht="35.25" customHeight="1">
      <c r="A3" s="804" t="s">
        <v>38</v>
      </c>
      <c r="B3" s="804" t="s">
        <v>107</v>
      </c>
      <c r="C3" s="805" t="s">
        <v>80</v>
      </c>
      <c r="D3" s="806" t="s">
        <v>81</v>
      </c>
      <c r="E3" s="807" t="s">
        <v>82</v>
      </c>
      <c r="F3" s="806" t="s">
        <v>81</v>
      </c>
      <c r="H3" s="737"/>
      <c r="J3" s="737"/>
    </row>
    <row r="4" spans="1:10" ht="24.95" customHeight="1">
      <c r="A4" s="808" t="s">
        <v>221</v>
      </c>
      <c r="B4" s="809" t="s">
        <v>69</v>
      </c>
      <c r="C4" s="810">
        <v>0.79169999999999996</v>
      </c>
      <c r="D4" s="811">
        <v>-8.1999999999999993</v>
      </c>
      <c r="E4" s="812">
        <v>1.7744</v>
      </c>
      <c r="F4" s="813">
        <v>-17.100000000000001</v>
      </c>
      <c r="H4" s="737"/>
      <c r="J4" s="737"/>
    </row>
    <row r="5" spans="1:10" ht="24.95" customHeight="1">
      <c r="A5" s="808" t="s">
        <v>222</v>
      </c>
      <c r="B5" s="809" t="s">
        <v>69</v>
      </c>
      <c r="C5" s="810">
        <v>9.1800000000000007E-2</v>
      </c>
      <c r="D5" s="811">
        <v>-22.7</v>
      </c>
      <c r="E5" s="812">
        <v>0.26269999999999999</v>
      </c>
      <c r="F5" s="813">
        <v>-23.2</v>
      </c>
      <c r="H5" s="737"/>
      <c r="J5" s="737"/>
    </row>
    <row r="6" spans="1:10" ht="24.95" customHeight="1">
      <c r="A6" s="808" t="s">
        <v>223</v>
      </c>
      <c r="B6" s="809" t="s">
        <v>224</v>
      </c>
      <c r="C6" s="810">
        <v>0</v>
      </c>
      <c r="D6" s="811">
        <v>0</v>
      </c>
      <c r="E6" s="812">
        <v>0</v>
      </c>
      <c r="F6" s="813">
        <v>0</v>
      </c>
      <c r="H6" s="737"/>
      <c r="J6" s="737"/>
    </row>
    <row r="7" spans="1:10" ht="24.95" customHeight="1">
      <c r="A7" s="808" t="s">
        <v>225</v>
      </c>
      <c r="B7" s="809" t="s">
        <v>69</v>
      </c>
      <c r="C7" s="810">
        <v>28.156300000000002</v>
      </c>
      <c r="D7" s="811">
        <v>-40.6</v>
      </c>
      <c r="E7" s="812">
        <v>121.58450000000001</v>
      </c>
      <c r="F7" s="813">
        <v>-11.5</v>
      </c>
      <c r="H7" s="737"/>
      <c r="J7" s="737"/>
    </row>
    <row r="8" spans="1:10" ht="24.95" customHeight="1">
      <c r="A8" s="808" t="s">
        <v>226</v>
      </c>
      <c r="B8" s="809" t="s">
        <v>227</v>
      </c>
      <c r="C8" s="810">
        <v>33.982100000000003</v>
      </c>
      <c r="D8" s="811">
        <v>-32.5</v>
      </c>
      <c r="E8" s="812">
        <v>127.28189999999999</v>
      </c>
      <c r="F8" s="813">
        <v>5.0999999999999996</v>
      </c>
      <c r="H8" s="737"/>
      <c r="J8" s="737"/>
    </row>
    <row r="9" spans="1:10" ht="24.95" customHeight="1">
      <c r="A9" s="808" t="s">
        <v>228</v>
      </c>
      <c r="B9" s="809" t="s">
        <v>229</v>
      </c>
      <c r="C9" s="810">
        <v>0.42670000000000002</v>
      </c>
      <c r="D9" s="811">
        <v>49.5</v>
      </c>
      <c r="E9" s="812">
        <v>0.96699999999999997</v>
      </c>
      <c r="F9" s="813">
        <v>48.7</v>
      </c>
      <c r="H9" s="737"/>
      <c r="J9" s="737"/>
    </row>
    <row r="10" spans="1:10" ht="24.95" customHeight="1">
      <c r="A10" s="808" t="s">
        <v>230</v>
      </c>
      <c r="B10" s="809" t="s">
        <v>69</v>
      </c>
      <c r="C10" s="810">
        <v>0.2298</v>
      </c>
      <c r="D10" s="811">
        <v>5.8</v>
      </c>
      <c r="E10" s="812">
        <v>0.4577</v>
      </c>
      <c r="F10" s="813">
        <v>110.6</v>
      </c>
      <c r="H10" s="737"/>
      <c r="J10" s="737"/>
    </row>
    <row r="11" spans="1:10" ht="24.95" customHeight="1">
      <c r="A11" s="732" t="s">
        <v>231</v>
      </c>
      <c r="B11" s="727" t="s">
        <v>232</v>
      </c>
      <c r="C11" s="810">
        <v>6.5427999999999997</v>
      </c>
      <c r="D11" s="811">
        <v>-3.7</v>
      </c>
      <c r="E11" s="812">
        <v>25.829799999999999</v>
      </c>
      <c r="F11" s="813">
        <v>27</v>
      </c>
      <c r="H11" s="737"/>
      <c r="J11" s="737"/>
    </row>
    <row r="12" spans="1:10" ht="24.95" customHeight="1">
      <c r="A12" s="808" t="s">
        <v>233</v>
      </c>
      <c r="B12" s="809" t="s">
        <v>69</v>
      </c>
      <c r="C12" s="810">
        <v>64.046000000000006</v>
      </c>
      <c r="D12" s="811">
        <v>-1.9</v>
      </c>
      <c r="E12" s="812">
        <v>132.8937</v>
      </c>
      <c r="F12" s="813">
        <v>-2.9</v>
      </c>
      <c r="H12" s="737"/>
      <c r="J12" s="737"/>
    </row>
    <row r="13" spans="1:10" ht="24.95" customHeight="1">
      <c r="A13" s="808" t="s">
        <v>234</v>
      </c>
      <c r="B13" s="809" t="s">
        <v>69</v>
      </c>
      <c r="C13" s="810">
        <v>67.543999999999997</v>
      </c>
      <c r="D13" s="811">
        <v>-0.4</v>
      </c>
      <c r="E13" s="812">
        <v>141.5367</v>
      </c>
      <c r="F13" s="813">
        <v>-0.1</v>
      </c>
      <c r="H13" s="737"/>
      <c r="J13" s="737"/>
    </row>
    <row r="14" spans="1:10" ht="24.95" customHeight="1">
      <c r="A14" s="808" t="s">
        <v>235</v>
      </c>
      <c r="B14" s="809" t="s">
        <v>69</v>
      </c>
      <c r="C14" s="810">
        <v>63.828000000000003</v>
      </c>
      <c r="D14" s="811">
        <v>13.4</v>
      </c>
      <c r="E14" s="812">
        <v>136.10730000000001</v>
      </c>
      <c r="F14" s="813">
        <v>13.2</v>
      </c>
      <c r="H14" s="737"/>
      <c r="J14" s="737"/>
    </row>
    <row r="15" spans="1:10" ht="24.95" customHeight="1">
      <c r="A15" s="814" t="s">
        <v>236</v>
      </c>
      <c r="B15" s="809" t="s">
        <v>69</v>
      </c>
      <c r="C15" s="810">
        <v>1.9985999999999999</v>
      </c>
      <c r="D15" s="811">
        <v>112.7</v>
      </c>
      <c r="E15" s="812">
        <v>3.3797999999999999</v>
      </c>
      <c r="F15" s="813">
        <v>94.2</v>
      </c>
      <c r="H15" s="737"/>
      <c r="J15" s="737"/>
    </row>
    <row r="16" spans="1:10" ht="24.95" customHeight="1">
      <c r="A16" s="808" t="s">
        <v>237</v>
      </c>
      <c r="B16" s="809" t="s">
        <v>69</v>
      </c>
      <c r="C16" s="810">
        <v>5.2499999999999998E-2</v>
      </c>
      <c r="D16" s="811">
        <v>47.1</v>
      </c>
      <c r="E16" s="812">
        <v>0.14249999999999999</v>
      </c>
      <c r="F16" s="813">
        <v>92.8</v>
      </c>
      <c r="H16" s="737"/>
      <c r="J16" s="737"/>
    </row>
    <row r="17" spans="1:10" ht="24.95" customHeight="1">
      <c r="A17" s="815" t="s">
        <v>238</v>
      </c>
      <c r="B17" s="809" t="s">
        <v>69</v>
      </c>
      <c r="C17" s="810">
        <v>5.3999999999999999E-2</v>
      </c>
      <c r="D17" s="811">
        <v>17.399999999999999</v>
      </c>
      <c r="E17" s="812">
        <v>0.12870000000000001</v>
      </c>
      <c r="F17" s="813">
        <v>1.6</v>
      </c>
      <c r="H17" s="737"/>
      <c r="J17" s="737"/>
    </row>
    <row r="18" spans="1:10" ht="24.95" customHeight="1">
      <c r="A18" s="808" t="s">
        <v>239</v>
      </c>
      <c r="B18" s="809" t="s">
        <v>240</v>
      </c>
      <c r="C18" s="816">
        <v>15</v>
      </c>
      <c r="D18" s="811">
        <v>-94</v>
      </c>
      <c r="E18" s="817">
        <v>25</v>
      </c>
      <c r="F18" s="813">
        <v>-97.3</v>
      </c>
      <c r="H18" s="737"/>
      <c r="J18" s="737"/>
    </row>
    <row r="19" spans="1:10" ht="24.95" customHeight="1">
      <c r="A19" s="808" t="s">
        <v>241</v>
      </c>
      <c r="B19" s="809" t="s">
        <v>242</v>
      </c>
      <c r="C19" s="810">
        <v>0.13239999999999999</v>
      </c>
      <c r="D19" s="811">
        <v>-79.2</v>
      </c>
      <c r="E19" s="812">
        <v>1.4636</v>
      </c>
      <c r="F19" s="813">
        <v>-1.7</v>
      </c>
      <c r="H19" s="737"/>
      <c r="J19" s="737"/>
    </row>
    <row r="20" spans="1:10" ht="24.95" customHeight="1">
      <c r="A20" s="808" t="s">
        <v>243</v>
      </c>
      <c r="B20" s="809" t="s">
        <v>244</v>
      </c>
      <c r="C20" s="810">
        <v>634.98580000000004</v>
      </c>
      <c r="D20" s="811">
        <v>36.200000000000003</v>
      </c>
      <c r="E20" s="812">
        <v>1320.0382999999999</v>
      </c>
      <c r="F20" s="813">
        <v>17.8</v>
      </c>
      <c r="H20" s="737"/>
      <c r="J20" s="737"/>
    </row>
    <row r="21" spans="1:10" ht="24.95" customHeight="1">
      <c r="A21" s="808" t="s">
        <v>245</v>
      </c>
      <c r="B21" s="809" t="s">
        <v>246</v>
      </c>
      <c r="C21" s="810">
        <v>10.3215</v>
      </c>
      <c r="D21" s="811">
        <v>5.3</v>
      </c>
      <c r="E21" s="812">
        <v>30.227900000000002</v>
      </c>
      <c r="F21" s="813">
        <v>3</v>
      </c>
      <c r="G21" s="733"/>
      <c r="H21" s="818"/>
      <c r="J21" s="737"/>
    </row>
    <row r="22" spans="1:10" ht="24.95" customHeight="1">
      <c r="A22" s="808" t="s">
        <v>247</v>
      </c>
      <c r="B22" s="809" t="s">
        <v>31</v>
      </c>
      <c r="C22" s="810">
        <v>12.5898</v>
      </c>
      <c r="D22" s="811">
        <v>-1.4</v>
      </c>
      <c r="E22" s="812">
        <v>27.808800000000002</v>
      </c>
      <c r="F22" s="813">
        <v>-11.3</v>
      </c>
      <c r="G22" s="733"/>
      <c r="H22" s="737"/>
      <c r="J22" s="737"/>
    </row>
    <row r="23" spans="1:10" ht="24.95" customHeight="1">
      <c r="A23" s="819" t="s">
        <v>248</v>
      </c>
      <c r="B23" s="820" t="s">
        <v>31</v>
      </c>
      <c r="C23" s="821">
        <v>10.3291</v>
      </c>
      <c r="D23" s="822">
        <v>17.399999999999999</v>
      </c>
      <c r="E23" s="823">
        <v>20.776800000000001</v>
      </c>
      <c r="F23" s="824">
        <v>19.100000000000001</v>
      </c>
      <c r="G23" s="733"/>
      <c r="H23" s="737"/>
      <c r="J23" s="737"/>
    </row>
    <row r="24" spans="1:10" ht="26.1" customHeight="1">
      <c r="E24" s="715"/>
      <c r="H24" s="737"/>
      <c r="J24" s="737"/>
    </row>
    <row r="25" spans="1:10" ht="26.1" customHeight="1">
      <c r="E25" s="715"/>
      <c r="H25" s="737"/>
      <c r="J25" s="737"/>
    </row>
    <row r="26" spans="1:10" ht="26.1" customHeight="1">
      <c r="E26" s="715"/>
      <c r="H26" s="737"/>
      <c r="J26" s="737"/>
    </row>
    <row r="27" spans="1:10" ht="29.1" customHeight="1">
      <c r="A27" s="1077"/>
      <c r="B27" s="1077"/>
      <c r="C27" s="1077"/>
      <c r="D27" s="1077"/>
      <c r="E27" s="1077"/>
      <c r="F27" s="1077"/>
    </row>
  </sheetData>
  <sheetProtection password="DC9E" sheet="1" objects="1" scenarios="1"/>
  <mergeCells count="3">
    <mergeCell ref="A1:F1"/>
    <mergeCell ref="E2:F2"/>
    <mergeCell ref="A27:F27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5"/>
  </sheetPr>
  <dimension ref="A1:C15"/>
  <sheetViews>
    <sheetView zoomScale="90" zoomScaleNormal="90" workbookViewId="0">
      <selection activeCell="F5" sqref="F5"/>
    </sheetView>
  </sheetViews>
  <sheetFormatPr defaultColWidth="9" defaultRowHeight="14.25"/>
  <cols>
    <col min="1" max="1" width="46.25" style="785" customWidth="1"/>
    <col min="2" max="3" width="14.5" style="786" customWidth="1"/>
    <col min="4" max="16384" width="9" style="785"/>
  </cols>
  <sheetData>
    <row r="1" spans="1:3" ht="28.5" customHeight="1">
      <c r="A1" s="1066" t="s">
        <v>249</v>
      </c>
      <c r="B1" s="1086"/>
      <c r="C1" s="1086"/>
    </row>
    <row r="2" spans="1:3" ht="28.5" customHeight="1">
      <c r="A2" s="787"/>
      <c r="B2" s="1087" t="s">
        <v>250</v>
      </c>
      <c r="C2" s="1087"/>
    </row>
    <row r="3" spans="1:3" ht="40.5" customHeight="1">
      <c r="A3" s="788" t="s">
        <v>38</v>
      </c>
      <c r="B3" s="789" t="s">
        <v>82</v>
      </c>
      <c r="C3" s="790" t="s">
        <v>5</v>
      </c>
    </row>
    <row r="4" spans="1:3" s="784" customFormat="1" ht="30" customHeight="1">
      <c r="A4" s="791" t="s">
        <v>251</v>
      </c>
      <c r="B4" s="792">
        <v>185.47</v>
      </c>
      <c r="C4" s="793">
        <v>-4</v>
      </c>
    </row>
    <row r="5" spans="1:3" s="784" customFormat="1" ht="30" customHeight="1">
      <c r="A5" s="794" t="s">
        <v>252</v>
      </c>
      <c r="B5" s="795">
        <v>7.68</v>
      </c>
      <c r="C5" s="796">
        <v>-2.4</v>
      </c>
    </row>
    <row r="6" spans="1:3" ht="30" customHeight="1">
      <c r="A6" s="794" t="s">
        <v>253</v>
      </c>
      <c r="B6" s="795">
        <v>150.85</v>
      </c>
      <c r="C6" s="796">
        <v>-2.8</v>
      </c>
    </row>
    <row r="7" spans="1:3" ht="30" customHeight="1">
      <c r="A7" s="797" t="s">
        <v>254</v>
      </c>
      <c r="B7" s="795">
        <v>26.94</v>
      </c>
      <c r="C7" s="796">
        <v>-10.7</v>
      </c>
    </row>
    <row r="8" spans="1:3" ht="30" customHeight="1">
      <c r="A8" s="797" t="s">
        <v>255</v>
      </c>
      <c r="B8" s="795">
        <v>142.15</v>
      </c>
      <c r="C8" s="796">
        <v>-5.5</v>
      </c>
    </row>
    <row r="9" spans="1:3" ht="30" customHeight="1">
      <c r="A9" s="797" t="s">
        <v>256</v>
      </c>
      <c r="B9" s="795">
        <v>12.87</v>
      </c>
      <c r="C9" s="796">
        <v>-3.3</v>
      </c>
    </row>
    <row r="10" spans="1:3" ht="30" customHeight="1">
      <c r="A10" s="797" t="s">
        <v>257</v>
      </c>
      <c r="B10" s="795">
        <v>0.64</v>
      </c>
      <c r="C10" s="796">
        <v>22.9</v>
      </c>
    </row>
    <row r="11" spans="1:3" ht="30" customHeight="1">
      <c r="A11" s="797" t="s">
        <v>258</v>
      </c>
      <c r="B11" s="795">
        <v>6.06</v>
      </c>
      <c r="C11" s="796">
        <v>-7.5</v>
      </c>
    </row>
    <row r="12" spans="1:3" ht="30" customHeight="1">
      <c r="A12" s="797" t="s">
        <v>259</v>
      </c>
      <c r="B12" s="795">
        <v>95.85</v>
      </c>
      <c r="C12" s="796">
        <v>-4.2</v>
      </c>
    </row>
    <row r="13" spans="1:3" ht="30" customHeight="1">
      <c r="A13" s="798" t="s">
        <v>260</v>
      </c>
      <c r="B13" s="795">
        <v>0.01</v>
      </c>
      <c r="C13" s="796">
        <v>46.8</v>
      </c>
    </row>
    <row r="14" spans="1:3" ht="30" customHeight="1">
      <c r="A14" s="799" t="s">
        <v>261</v>
      </c>
      <c r="B14" s="800">
        <v>26.72</v>
      </c>
      <c r="C14" s="801">
        <v>-10.8</v>
      </c>
    </row>
    <row r="15" spans="1:3" ht="25.5" customHeight="1">
      <c r="A15" s="1088" t="s">
        <v>262</v>
      </c>
      <c r="B15" s="1088"/>
      <c r="C15" s="1088"/>
    </row>
  </sheetData>
  <sheetProtection password="DC9E" sheet="1" objects="1" scenarios="1"/>
  <mergeCells count="3">
    <mergeCell ref="A1:C1"/>
    <mergeCell ref="B2:C2"/>
    <mergeCell ref="A15:C15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C00000"/>
  </sheetPr>
  <dimension ref="A1:Q24"/>
  <sheetViews>
    <sheetView zoomScale="80" zoomScaleNormal="80" workbookViewId="0">
      <selection activeCell="I6" sqref="I6"/>
    </sheetView>
  </sheetViews>
  <sheetFormatPr defaultColWidth="9" defaultRowHeight="14.25"/>
  <cols>
    <col min="1" max="1" width="29.75" style="253" customWidth="1"/>
    <col min="2" max="2" width="13.375" style="253" customWidth="1"/>
    <col min="3" max="3" width="12.875" style="253" customWidth="1"/>
    <col min="4" max="4" width="13.125" style="253" customWidth="1"/>
    <col min="5" max="16384" width="9" style="253"/>
  </cols>
  <sheetData>
    <row r="1" spans="1:8" ht="34.5" customHeight="1">
      <c r="A1" s="1078" t="s">
        <v>263</v>
      </c>
      <c r="B1" s="1089"/>
      <c r="C1" s="1080"/>
      <c r="D1" s="1090"/>
      <c r="E1" s="611"/>
      <c r="F1" s="288"/>
      <c r="G1" s="288"/>
      <c r="H1" s="288"/>
    </row>
    <row r="2" spans="1:8" ht="15.75" hidden="1">
      <c r="B2" s="1091"/>
      <c r="C2" s="1090"/>
      <c r="D2" s="1091"/>
      <c r="E2" s="1090"/>
    </row>
    <row r="3" spans="1:8" ht="12.75" customHeight="1">
      <c r="B3" s="749"/>
      <c r="C3" s="717"/>
      <c r="D3" s="749"/>
      <c r="E3" s="717"/>
    </row>
    <row r="4" spans="1:8" ht="32.25" customHeight="1">
      <c r="A4" s="750" t="s">
        <v>38</v>
      </c>
      <c r="B4" s="751" t="s">
        <v>264</v>
      </c>
      <c r="C4" s="751" t="s">
        <v>82</v>
      </c>
      <c r="D4" s="752" t="s">
        <v>265</v>
      </c>
      <c r="E4" s="552"/>
      <c r="F4" s="753"/>
      <c r="G4" s="753"/>
      <c r="H4" s="753"/>
    </row>
    <row r="5" spans="1:8" ht="35.1" customHeight="1">
      <c r="A5" s="754" t="s">
        <v>266</v>
      </c>
      <c r="B5" s="755"/>
      <c r="C5" s="756"/>
      <c r="D5" s="757"/>
      <c r="E5" s="552"/>
      <c r="F5" s="753"/>
      <c r="G5" s="753"/>
      <c r="H5" s="753"/>
    </row>
    <row r="6" spans="1:8" ht="35.1" customHeight="1">
      <c r="A6" s="758" t="s">
        <v>267</v>
      </c>
      <c r="B6" s="759" t="s">
        <v>69</v>
      </c>
      <c r="C6" s="760">
        <v>3687</v>
      </c>
      <c r="D6" s="757">
        <v>-2.33</v>
      </c>
      <c r="E6" s="552"/>
      <c r="F6" s="753"/>
      <c r="G6" s="753"/>
      <c r="H6" s="753"/>
    </row>
    <row r="7" spans="1:8" ht="35.1" customHeight="1">
      <c r="A7" s="761" t="s">
        <v>268</v>
      </c>
      <c r="B7" s="759" t="s">
        <v>69</v>
      </c>
      <c r="C7" s="760">
        <v>1780</v>
      </c>
      <c r="D7" s="762">
        <v>-4.8</v>
      </c>
      <c r="E7" s="763"/>
      <c r="F7" s="763"/>
    </row>
    <row r="8" spans="1:8" ht="35.1" customHeight="1">
      <c r="A8" s="758" t="s">
        <v>269</v>
      </c>
      <c r="B8" s="759" t="s">
        <v>270</v>
      </c>
      <c r="C8" s="764">
        <v>16.361999999999998</v>
      </c>
      <c r="D8" s="757">
        <v>26.62</v>
      </c>
      <c r="E8" s="309"/>
      <c r="F8" s="309"/>
    </row>
    <row r="9" spans="1:8" s="309" customFormat="1" ht="35.1" customHeight="1">
      <c r="A9" s="765" t="s">
        <v>271</v>
      </c>
      <c r="B9" s="766"/>
      <c r="C9" s="767"/>
      <c r="D9" s="757"/>
    </row>
    <row r="10" spans="1:8" ht="35.1" customHeight="1">
      <c r="A10" s="768" t="s">
        <v>272</v>
      </c>
      <c r="B10" s="759" t="s">
        <v>52</v>
      </c>
      <c r="C10" s="767"/>
      <c r="D10" s="762"/>
      <c r="E10" s="763"/>
      <c r="F10" s="763"/>
    </row>
    <row r="11" spans="1:8" ht="35.1" customHeight="1">
      <c r="A11" s="768" t="s">
        <v>273</v>
      </c>
      <c r="B11" s="759" t="s">
        <v>274</v>
      </c>
      <c r="C11" s="764">
        <v>0.2107</v>
      </c>
      <c r="D11" s="757">
        <v>12.73</v>
      </c>
      <c r="E11" s="769"/>
      <c r="F11" s="763"/>
    </row>
    <row r="12" spans="1:8" ht="35.1" customHeight="1">
      <c r="A12" s="768" t="s">
        <v>275</v>
      </c>
      <c r="B12" s="759" t="s">
        <v>276</v>
      </c>
      <c r="C12" s="764">
        <v>47.546300000000002</v>
      </c>
      <c r="D12" s="757">
        <v>12.48</v>
      </c>
      <c r="E12" s="309"/>
      <c r="F12" s="763"/>
    </row>
    <row r="13" spans="1:8" ht="35.1" customHeight="1">
      <c r="A13" s="768" t="s">
        <v>277</v>
      </c>
      <c r="B13" s="759" t="s">
        <v>121</v>
      </c>
      <c r="C13" s="767">
        <v>1417</v>
      </c>
      <c r="D13" s="757">
        <v>-1.32</v>
      </c>
      <c r="E13" s="769"/>
      <c r="F13" s="763"/>
    </row>
    <row r="14" spans="1:8" ht="35.1" customHeight="1">
      <c r="A14" s="768" t="s">
        <v>278</v>
      </c>
      <c r="B14" s="759" t="s">
        <v>279</v>
      </c>
      <c r="C14" s="764">
        <v>15.7737</v>
      </c>
      <c r="D14" s="757">
        <v>-2.13</v>
      </c>
      <c r="E14" s="770"/>
      <c r="F14" s="770"/>
    </row>
    <row r="15" spans="1:8" ht="35.1" customHeight="1">
      <c r="A15" s="768" t="s">
        <v>280</v>
      </c>
      <c r="B15" s="766"/>
      <c r="C15" s="771"/>
      <c r="D15" s="772"/>
      <c r="E15" s="763"/>
      <c r="F15" s="763"/>
    </row>
    <row r="16" spans="1:8" ht="35.1" customHeight="1">
      <c r="A16" s="768" t="s">
        <v>273</v>
      </c>
      <c r="B16" s="759" t="s">
        <v>69</v>
      </c>
      <c r="C16" s="767">
        <v>790.2</v>
      </c>
      <c r="D16" s="757">
        <v>25.29</v>
      </c>
      <c r="E16" s="769"/>
      <c r="F16" s="763"/>
    </row>
    <row r="17" spans="1:17" ht="35.1" customHeight="1">
      <c r="A17" s="768" t="s">
        <v>275</v>
      </c>
      <c r="B17" s="759" t="s">
        <v>276</v>
      </c>
      <c r="C17" s="764">
        <v>34.827300000000001</v>
      </c>
      <c r="D17" s="757">
        <v>38.99</v>
      </c>
      <c r="E17" s="763"/>
      <c r="F17" s="763"/>
    </row>
    <row r="18" spans="1:17" ht="35.1" customHeight="1">
      <c r="A18" s="768" t="s">
        <v>277</v>
      </c>
      <c r="B18" s="759" t="s">
        <v>121</v>
      </c>
      <c r="C18" s="767">
        <v>133.6</v>
      </c>
      <c r="D18" s="757">
        <v>18.989999999999998</v>
      </c>
      <c r="E18" s="769"/>
      <c r="F18" s="763"/>
    </row>
    <row r="19" spans="1:17" ht="35.1" customHeight="1">
      <c r="A19" s="773" t="s">
        <v>278</v>
      </c>
      <c r="B19" s="774" t="s">
        <v>279</v>
      </c>
      <c r="C19" s="775">
        <v>0.38823200000000002</v>
      </c>
      <c r="D19" s="776">
        <v>33.51</v>
      </c>
      <c r="E19" s="770"/>
      <c r="F19" s="770"/>
    </row>
    <row r="20" spans="1:17" ht="21.95" customHeight="1">
      <c r="A20" s="777"/>
      <c r="B20" s="778"/>
      <c r="C20" s="779"/>
      <c r="D20" s="779"/>
      <c r="E20" s="763"/>
      <c r="F20" s="763"/>
    </row>
    <row r="21" spans="1:17" s="748" customFormat="1" ht="27.75" customHeight="1">
      <c r="A21" s="1092"/>
      <c r="B21" s="1092"/>
      <c r="C21" s="1092"/>
      <c r="D21" s="1092"/>
      <c r="E21" s="780"/>
      <c r="F21" s="780"/>
      <c r="G21" s="780"/>
      <c r="H21" s="780"/>
      <c r="I21" s="780"/>
      <c r="J21" s="780"/>
      <c r="K21" s="780"/>
      <c r="L21" s="780"/>
      <c r="M21" s="780"/>
      <c r="N21" s="780"/>
      <c r="O21" s="783"/>
      <c r="P21" s="783"/>
      <c r="Q21" s="783"/>
    </row>
    <row r="22" spans="1:17" ht="21.95" customHeight="1">
      <c r="A22" s="781"/>
      <c r="B22" s="782"/>
      <c r="C22" s="770"/>
      <c r="D22" s="770"/>
      <c r="E22" s="770"/>
      <c r="F22" s="770"/>
    </row>
    <row r="23" spans="1:17" ht="21.95" customHeight="1">
      <c r="A23" s="781"/>
      <c r="B23" s="782"/>
      <c r="C23" s="763"/>
      <c r="D23" s="763"/>
      <c r="E23" s="763"/>
      <c r="F23" s="763"/>
    </row>
    <row r="24" spans="1:17" ht="21.95" customHeight="1">
      <c r="A24" s="552"/>
      <c r="B24" s="552"/>
    </row>
  </sheetData>
  <sheetProtection password="DC9E" sheet="1" objects="1" scenarios="1"/>
  <mergeCells count="4">
    <mergeCell ref="A1:D1"/>
    <mergeCell ref="B2:C2"/>
    <mergeCell ref="D2:E2"/>
    <mergeCell ref="A21:D21"/>
  </mergeCells>
  <phoneticPr fontId="11" type="noConversion"/>
  <printOptions horizontalCentered="1"/>
  <pageMargins left="0.75" right="0.75" top="0.97916666666666696" bottom="0.97916666666666696" header="0.50902777777777797" footer="0.50902777777777797"/>
  <pageSetup paperSize="9" orientation="portrait" blackAndWhite="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C00000"/>
  </sheetPr>
  <dimension ref="A1:I27"/>
  <sheetViews>
    <sheetView zoomScale="80" zoomScaleNormal="80" workbookViewId="0">
      <selection activeCell="C3" sqref="C3:C15"/>
    </sheetView>
  </sheetViews>
  <sheetFormatPr defaultColWidth="9" defaultRowHeight="14.25"/>
  <cols>
    <col min="1" max="1" width="41.875" style="715" customWidth="1"/>
    <col min="2" max="2" width="11.875" style="715" customWidth="1"/>
    <col min="3" max="4" width="14.5" style="716" customWidth="1"/>
    <col min="5" max="5" width="12.625" style="715" customWidth="1"/>
    <col min="6" max="9" width="14.125" style="715" customWidth="1"/>
    <col min="10" max="16384" width="9" style="715"/>
  </cols>
  <sheetData>
    <row r="1" spans="1:9" ht="33.75" customHeight="1">
      <c r="A1" s="1078" t="s">
        <v>281</v>
      </c>
      <c r="B1" s="1079"/>
      <c r="C1" s="1090"/>
      <c r="D1" s="1090"/>
    </row>
    <row r="2" spans="1:9" ht="23.1" customHeight="1">
      <c r="A2" s="718" t="s">
        <v>38</v>
      </c>
      <c r="B2" s="719" t="s">
        <v>2</v>
      </c>
      <c r="C2" s="720" t="s">
        <v>82</v>
      </c>
      <c r="D2" s="718" t="s">
        <v>5</v>
      </c>
    </row>
    <row r="3" spans="1:9" s="714" customFormat="1" ht="24.95" customHeight="1">
      <c r="A3" s="721" t="s">
        <v>282</v>
      </c>
      <c r="B3" s="722" t="s">
        <v>7</v>
      </c>
      <c r="C3" s="723"/>
      <c r="D3" s="724">
        <v>16.100000000000001</v>
      </c>
      <c r="F3" s="725"/>
      <c r="G3" s="726"/>
    </row>
    <row r="4" spans="1:9" ht="24.95" customHeight="1">
      <c r="A4" s="721" t="s">
        <v>283</v>
      </c>
      <c r="B4" s="727" t="s">
        <v>7</v>
      </c>
      <c r="C4" s="728"/>
      <c r="D4" s="729">
        <v>0</v>
      </c>
      <c r="F4" s="730"/>
      <c r="G4" s="731"/>
      <c r="I4" s="737"/>
    </row>
    <row r="5" spans="1:9" ht="24.95" customHeight="1">
      <c r="A5" s="732" t="s">
        <v>284</v>
      </c>
      <c r="B5" s="727" t="s">
        <v>7</v>
      </c>
      <c r="C5" s="728"/>
      <c r="D5" s="729">
        <v>66.3</v>
      </c>
      <c r="F5" s="733"/>
      <c r="G5" s="731"/>
      <c r="I5" s="737"/>
    </row>
    <row r="6" spans="1:9" s="541" customFormat="1" ht="24.95" customHeight="1">
      <c r="A6" s="732" t="s">
        <v>285</v>
      </c>
      <c r="B6" s="727" t="s">
        <v>7</v>
      </c>
      <c r="C6" s="728"/>
      <c r="D6" s="729">
        <v>-35.836462685777803</v>
      </c>
      <c r="E6" s="734"/>
      <c r="F6" s="734"/>
      <c r="G6" s="731"/>
      <c r="I6" s="737"/>
    </row>
    <row r="7" spans="1:9" s="714" customFormat="1" ht="24.95" customHeight="1">
      <c r="A7" s="721" t="s">
        <v>286</v>
      </c>
      <c r="B7" s="727" t="s">
        <v>7</v>
      </c>
      <c r="C7" s="728"/>
      <c r="D7" s="729">
        <v>17.8</v>
      </c>
      <c r="F7" s="725"/>
      <c r="G7" s="735"/>
    </row>
    <row r="8" spans="1:9" s="714" customFormat="1" ht="24.95" customHeight="1">
      <c r="A8" s="736" t="s">
        <v>287</v>
      </c>
      <c r="B8" s="727" t="s">
        <v>7</v>
      </c>
      <c r="C8" s="728"/>
      <c r="D8" s="729">
        <v>32.1</v>
      </c>
      <c r="F8" s="730"/>
    </row>
    <row r="9" spans="1:9" s="714" customFormat="1" ht="24.95" customHeight="1">
      <c r="A9" s="736" t="s">
        <v>288</v>
      </c>
      <c r="B9" s="727" t="s">
        <v>7</v>
      </c>
      <c r="C9" s="728"/>
      <c r="D9" s="729">
        <v>129</v>
      </c>
      <c r="F9" s="730"/>
    </row>
    <row r="10" spans="1:9" ht="24.95" customHeight="1">
      <c r="A10" s="732" t="s">
        <v>289</v>
      </c>
      <c r="B10" s="727" t="s">
        <v>7</v>
      </c>
      <c r="C10" s="728"/>
      <c r="D10" s="729">
        <v>-7.6</v>
      </c>
      <c r="G10" s="737"/>
      <c r="I10" s="737"/>
    </row>
    <row r="11" spans="1:9" ht="24.95" customHeight="1">
      <c r="A11" s="732" t="s">
        <v>290</v>
      </c>
      <c r="B11" s="727" t="s">
        <v>7</v>
      </c>
      <c r="C11" s="728"/>
      <c r="D11" s="729">
        <v>13.1</v>
      </c>
      <c r="G11" s="737"/>
      <c r="I11" s="737"/>
    </row>
    <row r="12" spans="1:9" ht="24.95" customHeight="1">
      <c r="A12" s="732" t="s">
        <v>291</v>
      </c>
      <c r="B12" s="727" t="s">
        <v>7</v>
      </c>
      <c r="C12" s="728"/>
      <c r="D12" s="729">
        <v>121.09117840684701</v>
      </c>
      <c r="G12" s="737"/>
      <c r="I12" s="737"/>
    </row>
    <row r="13" spans="1:9" ht="24.95" customHeight="1">
      <c r="A13" s="732" t="s">
        <v>292</v>
      </c>
      <c r="B13" s="727" t="s">
        <v>7</v>
      </c>
      <c r="C13" s="728"/>
      <c r="D13" s="729">
        <v>97.6</v>
      </c>
      <c r="G13" s="737"/>
      <c r="I13" s="737"/>
    </row>
    <row r="14" spans="1:9" ht="24.95" customHeight="1">
      <c r="A14" s="736" t="s">
        <v>293</v>
      </c>
      <c r="B14" s="727" t="s">
        <v>7</v>
      </c>
      <c r="C14" s="728"/>
      <c r="D14" s="729">
        <v>32.1</v>
      </c>
      <c r="G14" s="737"/>
      <c r="I14" s="737"/>
    </row>
    <row r="15" spans="1:9" ht="24.95" customHeight="1">
      <c r="A15" s="736" t="s">
        <v>294</v>
      </c>
      <c r="B15" s="727" t="s">
        <v>7</v>
      </c>
      <c r="C15" s="728"/>
      <c r="D15" s="729">
        <v>11.1</v>
      </c>
      <c r="G15" s="737"/>
      <c r="I15" s="737"/>
    </row>
    <row r="16" spans="1:9" ht="24.95" customHeight="1">
      <c r="A16" s="738" t="s">
        <v>295</v>
      </c>
      <c r="B16" s="739" t="s">
        <v>109</v>
      </c>
      <c r="C16" s="740">
        <v>521</v>
      </c>
      <c r="D16" s="741">
        <v>26.7</v>
      </c>
      <c r="F16" s="742"/>
      <c r="G16" s="737"/>
      <c r="I16" s="737"/>
    </row>
    <row r="17" spans="1:9" ht="24.95" customHeight="1">
      <c r="A17" s="738" t="s">
        <v>296</v>
      </c>
      <c r="B17" s="739" t="s">
        <v>109</v>
      </c>
      <c r="C17" s="740">
        <v>135</v>
      </c>
      <c r="D17" s="741">
        <v>25</v>
      </c>
      <c r="G17" s="737"/>
      <c r="I17" s="737"/>
    </row>
    <row r="18" spans="1:9" ht="24.95" customHeight="1">
      <c r="A18" s="738" t="s">
        <v>297</v>
      </c>
      <c r="B18" s="739" t="s">
        <v>109</v>
      </c>
      <c r="C18" s="740">
        <v>44</v>
      </c>
      <c r="D18" s="741">
        <v>109.5</v>
      </c>
      <c r="G18" s="737"/>
      <c r="I18" s="737"/>
    </row>
    <row r="19" spans="1:9" ht="24.95" customHeight="1">
      <c r="A19" s="738" t="s">
        <v>298</v>
      </c>
      <c r="B19" s="739" t="s">
        <v>14</v>
      </c>
      <c r="C19" s="743">
        <v>2655.8996000000002</v>
      </c>
      <c r="D19" s="729">
        <v>8.6</v>
      </c>
      <c r="G19" s="737"/>
      <c r="I19" s="737"/>
    </row>
    <row r="20" spans="1:9" ht="24.95" customHeight="1">
      <c r="A20" s="738" t="s">
        <v>299</v>
      </c>
      <c r="B20" s="739" t="s">
        <v>14</v>
      </c>
      <c r="C20" s="743">
        <v>2579.1511999999998</v>
      </c>
      <c r="D20" s="729">
        <v>12.3</v>
      </c>
      <c r="G20" s="737"/>
      <c r="I20" s="737"/>
    </row>
    <row r="21" spans="1:9" ht="24.95" customHeight="1">
      <c r="A21" s="738" t="s">
        <v>300</v>
      </c>
      <c r="B21" s="739" t="s">
        <v>14</v>
      </c>
      <c r="C21" s="743">
        <v>33.392800000000001</v>
      </c>
      <c r="D21" s="729">
        <v>-32.1</v>
      </c>
    </row>
    <row r="22" spans="1:9" ht="24.95" customHeight="1">
      <c r="A22" s="738" t="s">
        <v>299</v>
      </c>
      <c r="B22" s="739" t="s">
        <v>14</v>
      </c>
      <c r="C22" s="743">
        <v>32.337800000000001</v>
      </c>
      <c r="D22" s="729">
        <v>-22.8</v>
      </c>
    </row>
    <row r="23" spans="1:9" ht="24.95" customHeight="1">
      <c r="A23" s="738" t="s">
        <v>301</v>
      </c>
      <c r="B23" s="739" t="s">
        <v>14</v>
      </c>
      <c r="C23" s="743">
        <v>68.721299999999999</v>
      </c>
      <c r="D23" s="729">
        <v>-6.9</v>
      </c>
    </row>
    <row r="24" spans="1:9" ht="24.95" customHeight="1">
      <c r="A24" s="744" t="s">
        <v>302</v>
      </c>
      <c r="B24" s="745" t="s">
        <v>7</v>
      </c>
      <c r="C24" s="746">
        <v>58.737200000000001</v>
      </c>
      <c r="D24" s="747">
        <v>-1.7</v>
      </c>
    </row>
    <row r="25" spans="1:9" ht="24.95" customHeight="1">
      <c r="A25" s="1093"/>
      <c r="B25" s="1094"/>
      <c r="C25" s="1094"/>
      <c r="D25" s="1094"/>
    </row>
    <row r="26" spans="1:9" ht="24.95" customHeight="1">
      <c r="B26" s="716"/>
    </row>
    <row r="27" spans="1:9" ht="20.25" customHeight="1"/>
  </sheetData>
  <sheetProtection password="DC9E" sheet="1" objects="1" scenarios="1"/>
  <mergeCells count="2">
    <mergeCell ref="A1:D1"/>
    <mergeCell ref="A25:D25"/>
  </mergeCells>
  <phoneticPr fontId="11" type="noConversion"/>
  <printOptions horizontalCentered="1"/>
  <pageMargins left="0.55000000000000004" right="0.55000000000000004" top="0.97916666666666696" bottom="0.97916666666666696" header="0.50902777777777797" footer="0.50902777777777797"/>
  <pageSetup paperSize="9" orientation="portrait" blackAndWhite="1" horizontalDpi="200" verticalDpi="300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5"/>
  </sheetPr>
  <dimension ref="A1:C31"/>
  <sheetViews>
    <sheetView zoomScale="80" zoomScaleNormal="80" workbookViewId="0">
      <selection activeCell="B11" sqref="B11"/>
    </sheetView>
  </sheetViews>
  <sheetFormatPr defaultColWidth="9" defaultRowHeight="14.25"/>
  <cols>
    <col min="1" max="1" width="43.5" style="42" customWidth="1"/>
    <col min="2" max="2" width="17.375" style="42" customWidth="1"/>
    <col min="3" max="3" width="17.125" style="42" customWidth="1"/>
    <col min="4" max="16384" width="9" style="42"/>
  </cols>
  <sheetData>
    <row r="1" spans="1:3" ht="34.5" customHeight="1">
      <c r="A1" s="1095" t="s">
        <v>15</v>
      </c>
      <c r="B1" s="1095"/>
      <c r="C1" s="1095"/>
    </row>
    <row r="2" spans="1:3" ht="16.5" hidden="1" customHeight="1">
      <c r="A2" s="698"/>
      <c r="B2" s="699"/>
      <c r="C2" s="700"/>
    </row>
    <row r="3" spans="1:3" ht="16.5" customHeight="1">
      <c r="A3" s="698"/>
      <c r="B3" s="699"/>
      <c r="C3" s="701" t="s">
        <v>37</v>
      </c>
    </row>
    <row r="4" spans="1:3" ht="30.75" customHeight="1">
      <c r="A4" s="702" t="s">
        <v>38</v>
      </c>
      <c r="B4" s="703" t="s">
        <v>82</v>
      </c>
      <c r="C4" s="703" t="s">
        <v>81</v>
      </c>
    </row>
    <row r="5" spans="1:3" ht="21" customHeight="1">
      <c r="A5" s="704" t="s">
        <v>303</v>
      </c>
      <c r="B5" s="705">
        <v>298.7004</v>
      </c>
      <c r="C5" s="706">
        <v>8.1</v>
      </c>
    </row>
    <row r="6" spans="1:3" ht="21" customHeight="1">
      <c r="A6" s="707" t="s">
        <v>304</v>
      </c>
      <c r="B6" s="705"/>
      <c r="C6" s="706"/>
    </row>
    <row r="7" spans="1:3" ht="21" customHeight="1">
      <c r="A7" s="707" t="s">
        <v>305</v>
      </c>
      <c r="B7" s="705">
        <v>241.99209999999999</v>
      </c>
      <c r="C7" s="706">
        <v>8.1</v>
      </c>
    </row>
    <row r="8" spans="1:3" ht="21" customHeight="1">
      <c r="A8" s="707" t="s">
        <v>306</v>
      </c>
      <c r="B8" s="705">
        <v>56.708300000000001</v>
      </c>
      <c r="C8" s="706">
        <v>8.5</v>
      </c>
    </row>
    <row r="9" spans="1:3" ht="21" customHeight="1">
      <c r="A9" s="707" t="s">
        <v>307</v>
      </c>
      <c r="B9" s="705"/>
      <c r="C9" s="706"/>
    </row>
    <row r="10" spans="1:3" ht="21" customHeight="1">
      <c r="A10" s="707" t="s">
        <v>308</v>
      </c>
      <c r="B10" s="705">
        <v>264.77820000000003</v>
      </c>
      <c r="C10" s="706">
        <v>8.1999999999999993</v>
      </c>
    </row>
    <row r="11" spans="1:3" ht="21" customHeight="1">
      <c r="A11" s="707" t="s">
        <v>309</v>
      </c>
      <c r="B11" s="705">
        <v>33.922199999999997</v>
      </c>
      <c r="C11" s="706">
        <v>8</v>
      </c>
    </row>
    <row r="12" spans="1:3" ht="21" customHeight="1">
      <c r="A12" s="708" t="s">
        <v>310</v>
      </c>
      <c r="B12" s="705">
        <v>37.259</v>
      </c>
      <c r="C12" s="706">
        <v>6.8</v>
      </c>
    </row>
    <row r="13" spans="1:3" ht="21" customHeight="1">
      <c r="A13" s="707" t="s">
        <v>311</v>
      </c>
      <c r="B13" s="705">
        <v>5.9435000000000002</v>
      </c>
      <c r="C13" s="706">
        <v>6.8</v>
      </c>
    </row>
    <row r="14" spans="1:3" ht="21" customHeight="1">
      <c r="A14" s="707" t="s">
        <v>312</v>
      </c>
      <c r="B14" s="705">
        <v>0.36990000000000001</v>
      </c>
      <c r="C14" s="706">
        <v>-9.8000000000000007</v>
      </c>
    </row>
    <row r="15" spans="1:3" ht="21" customHeight="1">
      <c r="A15" s="707" t="s">
        <v>313</v>
      </c>
      <c r="B15" s="705">
        <v>0.1193</v>
      </c>
      <c r="C15" s="706">
        <v>-17.899999999999999</v>
      </c>
    </row>
    <row r="16" spans="1:3" ht="21" customHeight="1">
      <c r="A16" s="707" t="s">
        <v>314</v>
      </c>
      <c r="B16" s="705">
        <v>0.28949999999999998</v>
      </c>
      <c r="C16" s="706">
        <v>-3.8</v>
      </c>
    </row>
    <row r="17" spans="1:3" ht="21" customHeight="1">
      <c r="A17" s="709" t="s">
        <v>315</v>
      </c>
      <c r="B17" s="705">
        <v>1.0764</v>
      </c>
      <c r="C17" s="706">
        <v>4.5</v>
      </c>
    </row>
    <row r="18" spans="1:3" ht="21" customHeight="1">
      <c r="A18" s="710" t="s">
        <v>316</v>
      </c>
      <c r="B18" s="705">
        <v>0.11020000000000001</v>
      </c>
      <c r="C18" s="706">
        <v>-44</v>
      </c>
    </row>
    <row r="19" spans="1:3" ht="21" customHeight="1">
      <c r="A19" s="710" t="s">
        <v>317</v>
      </c>
      <c r="B19" s="705">
        <v>1.3599999999999999E-2</v>
      </c>
      <c r="C19" s="706">
        <v>68.099999999999994</v>
      </c>
    </row>
    <row r="20" spans="1:3" ht="21" customHeight="1">
      <c r="A20" s="710" t="s">
        <v>318</v>
      </c>
      <c r="B20" s="705">
        <v>0.22159999999999999</v>
      </c>
      <c r="C20" s="706">
        <v>16.899999999999999</v>
      </c>
    </row>
    <row r="21" spans="1:3" ht="21" customHeight="1">
      <c r="A21" s="710" t="s">
        <v>319</v>
      </c>
      <c r="B21" s="705">
        <v>1.3299999999999999E-2</v>
      </c>
      <c r="C21" s="706">
        <v>2.2000000000000002</v>
      </c>
    </row>
    <row r="22" spans="1:3" ht="21" customHeight="1">
      <c r="A22" s="710" t="s">
        <v>320</v>
      </c>
      <c r="B22" s="705">
        <v>1.9235</v>
      </c>
      <c r="C22" s="706">
        <v>3.2</v>
      </c>
    </row>
    <row r="23" spans="1:3" ht="21" customHeight="1">
      <c r="A23" s="710" t="s">
        <v>321</v>
      </c>
      <c r="B23" s="705">
        <v>1.6556999999999999</v>
      </c>
      <c r="C23" s="706">
        <v>13.5</v>
      </c>
    </row>
    <row r="24" spans="1:3" ht="21" customHeight="1">
      <c r="A24" s="710" t="s">
        <v>322</v>
      </c>
      <c r="B24" s="705">
        <v>0.29599999999999999</v>
      </c>
      <c r="C24" s="706">
        <v>-3.8</v>
      </c>
    </row>
    <row r="25" spans="1:3" ht="21" customHeight="1">
      <c r="A25" s="710" t="s">
        <v>323</v>
      </c>
      <c r="B25" s="705">
        <v>0.42720000000000002</v>
      </c>
      <c r="C25" s="706">
        <v>13.2</v>
      </c>
    </row>
    <row r="26" spans="1:3" ht="21" customHeight="1">
      <c r="A26" s="710" t="s">
        <v>324</v>
      </c>
      <c r="B26" s="705">
        <v>0.4899</v>
      </c>
      <c r="C26" s="706">
        <v>14</v>
      </c>
    </row>
    <row r="27" spans="1:3" ht="21" customHeight="1">
      <c r="A27" s="710" t="s">
        <v>325</v>
      </c>
      <c r="B27" s="705">
        <v>11.0525</v>
      </c>
      <c r="C27" s="706">
        <v>-0.2</v>
      </c>
    </row>
    <row r="28" spans="1:3" ht="21" customHeight="1">
      <c r="A28" s="710" t="s">
        <v>326</v>
      </c>
      <c r="B28" s="705">
        <v>0.1744</v>
      </c>
      <c r="C28" s="706">
        <v>-54.2</v>
      </c>
    </row>
    <row r="29" spans="1:3" ht="21" customHeight="1">
      <c r="A29" s="710" t="s">
        <v>327</v>
      </c>
      <c r="B29" s="705">
        <v>0.47489999999999999</v>
      </c>
      <c r="C29" s="706">
        <v>32</v>
      </c>
    </row>
    <row r="30" spans="1:3" ht="21" customHeight="1">
      <c r="A30" s="710" t="s">
        <v>328</v>
      </c>
      <c r="B30" s="705">
        <v>11.2224</v>
      </c>
      <c r="C30" s="706">
        <v>10.1</v>
      </c>
    </row>
    <row r="31" spans="1:3" ht="21" customHeight="1">
      <c r="A31" s="711" t="s">
        <v>329</v>
      </c>
      <c r="B31" s="712">
        <v>1.3853</v>
      </c>
      <c r="C31" s="713">
        <v>146.5</v>
      </c>
    </row>
  </sheetData>
  <sheetProtection password="DC9E" sheet="1" objects="1" scenarios="1"/>
  <mergeCells count="1">
    <mergeCell ref="A1:C1"/>
  </mergeCells>
  <phoneticPr fontId="11" type="noConversion"/>
  <pageMargins left="0.75" right="0.55000000000000004" top="0.58888888888888902" bottom="0.78888888888888897" header="0.50902777777777797" footer="0.50902777777777797"/>
  <pageSetup paperSize="9" scale="111" orientation="portrait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5"/>
  </sheetPr>
  <dimension ref="A1:C29"/>
  <sheetViews>
    <sheetView zoomScale="80" zoomScaleNormal="80" workbookViewId="0">
      <selection activeCell="H6" sqref="H6"/>
    </sheetView>
  </sheetViews>
  <sheetFormatPr defaultColWidth="9" defaultRowHeight="14.25"/>
  <cols>
    <col min="1" max="1" width="43.5" style="42" customWidth="1"/>
    <col min="2" max="2" width="13.5" style="210" customWidth="1"/>
    <col min="3" max="3" width="13.875" style="42" customWidth="1"/>
    <col min="4" max="16384" width="9" style="42"/>
  </cols>
  <sheetData>
    <row r="1" spans="1:3" ht="40.5" customHeight="1">
      <c r="A1" s="1096" t="s">
        <v>330</v>
      </c>
      <c r="B1" s="1096"/>
      <c r="C1" s="1096"/>
    </row>
    <row r="2" spans="1:3" ht="18" hidden="1" customHeight="1">
      <c r="A2" s="684"/>
      <c r="B2" s="685"/>
      <c r="C2" s="686"/>
    </row>
    <row r="3" spans="1:3" ht="21" customHeight="1">
      <c r="A3" s="684"/>
      <c r="B3" s="685"/>
      <c r="C3" s="687" t="s">
        <v>331</v>
      </c>
    </row>
    <row r="4" spans="1:3" ht="32.1" customHeight="1">
      <c r="A4" s="688" t="s">
        <v>38</v>
      </c>
      <c r="B4" s="689" t="s">
        <v>82</v>
      </c>
      <c r="C4" s="688" t="s">
        <v>332</v>
      </c>
    </row>
    <row r="5" spans="1:3" ht="21.95" customHeight="1">
      <c r="A5" s="690" t="s">
        <v>333</v>
      </c>
      <c r="B5" s="691">
        <v>24.869700000000002</v>
      </c>
      <c r="C5" s="692">
        <v>11.8</v>
      </c>
    </row>
    <row r="6" spans="1:3" ht="21.95" customHeight="1">
      <c r="A6" s="693" t="s">
        <v>334</v>
      </c>
      <c r="B6" s="691">
        <v>19.706</v>
      </c>
      <c r="C6" s="692">
        <v>13.1</v>
      </c>
    </row>
    <row r="7" spans="1:3" ht="21.95" customHeight="1">
      <c r="A7" s="693" t="s">
        <v>335</v>
      </c>
      <c r="B7" s="691">
        <v>7.4851000000000001</v>
      </c>
      <c r="C7" s="692">
        <v>23.5</v>
      </c>
    </row>
    <row r="8" spans="1:3" ht="21.95" customHeight="1">
      <c r="A8" s="693" t="s">
        <v>336</v>
      </c>
      <c r="B8" s="691">
        <v>2.8776000000000002</v>
      </c>
      <c r="C8" s="692">
        <v>55.8</v>
      </c>
    </row>
    <row r="9" spans="1:3" ht="21.95" customHeight="1">
      <c r="A9" s="693" t="s">
        <v>337</v>
      </c>
      <c r="B9" s="691">
        <v>0.74039999999999995</v>
      </c>
      <c r="C9" s="692">
        <v>-11.9</v>
      </c>
    </row>
    <row r="10" spans="1:3" ht="21.95" customHeight="1">
      <c r="A10" s="693" t="s">
        <v>338</v>
      </c>
      <c r="B10" s="691">
        <v>5.1637000000000004</v>
      </c>
      <c r="C10" s="692">
        <v>7</v>
      </c>
    </row>
    <row r="11" spans="1:3" ht="21.95" customHeight="1">
      <c r="A11" s="690" t="s">
        <v>339</v>
      </c>
      <c r="B11" s="691">
        <v>66.730999999999995</v>
      </c>
      <c r="C11" s="692">
        <v>16</v>
      </c>
    </row>
    <row r="12" spans="1:3" ht="21.95" customHeight="1">
      <c r="A12" s="694" t="s">
        <v>340</v>
      </c>
      <c r="B12" s="691">
        <v>8.6358999999999995</v>
      </c>
      <c r="C12" s="692">
        <v>21.4</v>
      </c>
    </row>
    <row r="13" spans="1:3" ht="21.95" customHeight="1">
      <c r="A13" s="690" t="s">
        <v>341</v>
      </c>
      <c r="B13" s="691">
        <v>1.0442</v>
      </c>
      <c r="C13" s="692">
        <v>420</v>
      </c>
    </row>
    <row r="14" spans="1:3" ht="21.95" customHeight="1">
      <c r="A14" s="690" t="s">
        <v>342</v>
      </c>
      <c r="B14" s="691">
        <v>51.147500000000001</v>
      </c>
      <c r="C14" s="692">
        <v>14</v>
      </c>
    </row>
    <row r="15" spans="1:3" ht="21.95" customHeight="1">
      <c r="A15" s="695" t="s">
        <v>343</v>
      </c>
      <c r="B15" s="691">
        <v>16.674499999999998</v>
      </c>
      <c r="C15" s="692">
        <v>7.4</v>
      </c>
    </row>
    <row r="16" spans="1:3" ht="21.95" customHeight="1">
      <c r="A16" s="690" t="s">
        <v>344</v>
      </c>
      <c r="B16" s="691">
        <v>1.1501999999999999</v>
      </c>
      <c r="C16" s="696">
        <v>17.8</v>
      </c>
    </row>
    <row r="17" spans="1:3" ht="21.95" customHeight="1">
      <c r="A17" s="690" t="s">
        <v>345</v>
      </c>
      <c r="B17" s="691">
        <v>11.008599999999999</v>
      </c>
      <c r="C17" s="696">
        <v>5.7</v>
      </c>
    </row>
    <row r="18" spans="1:3" ht="21.95" customHeight="1">
      <c r="A18" s="690" t="s">
        <v>346</v>
      </c>
      <c r="B18" s="691">
        <v>4.8815999999999997</v>
      </c>
      <c r="C18" s="696">
        <v>27.9</v>
      </c>
    </row>
    <row r="19" spans="1:3" ht="21.95" customHeight="1">
      <c r="A19" s="690" t="s">
        <v>347</v>
      </c>
      <c r="B19" s="691">
        <v>1.3843000000000001</v>
      </c>
      <c r="C19" s="696">
        <v>223.4</v>
      </c>
    </row>
    <row r="20" spans="1:3" ht="21.95" customHeight="1">
      <c r="A20" s="690" t="s">
        <v>348</v>
      </c>
      <c r="B20" s="691">
        <v>4.3646000000000003</v>
      </c>
      <c r="C20" s="696">
        <v>3.8</v>
      </c>
    </row>
    <row r="21" spans="1:3" ht="21.95" customHeight="1">
      <c r="A21" s="690" t="s">
        <v>349</v>
      </c>
      <c r="B21" s="691">
        <v>6.4641999999999999</v>
      </c>
      <c r="C21" s="696">
        <v>6</v>
      </c>
    </row>
    <row r="22" spans="1:3" ht="21.95" customHeight="1">
      <c r="A22" s="690" t="s">
        <v>350</v>
      </c>
      <c r="B22" s="691">
        <v>2.9327999999999999</v>
      </c>
      <c r="C22" s="696">
        <v>70.8</v>
      </c>
    </row>
    <row r="23" spans="1:3" ht="21.95" customHeight="1">
      <c r="A23" s="690" t="s">
        <v>351</v>
      </c>
      <c r="B23" s="691">
        <v>1.8127</v>
      </c>
      <c r="C23" s="696">
        <v>33.5</v>
      </c>
    </row>
    <row r="24" spans="1:3" ht="21.95" customHeight="1">
      <c r="A24" s="690" t="s">
        <v>352</v>
      </c>
      <c r="B24" s="691">
        <v>0.47399999999999998</v>
      </c>
      <c r="C24" s="697">
        <v>54.3</v>
      </c>
    </row>
    <row r="25" spans="1:3" ht="18" customHeight="1">
      <c r="A25" s="1097" t="s">
        <v>353</v>
      </c>
      <c r="B25" s="1097"/>
      <c r="C25" s="1097"/>
    </row>
    <row r="29" spans="1:3">
      <c r="A29" s="665"/>
      <c r="B29" s="683"/>
      <c r="C29" s="666"/>
    </row>
  </sheetData>
  <sheetProtection password="DC9E" sheet="1" objects="1" scenarios="1"/>
  <mergeCells count="2">
    <mergeCell ref="A1:C1"/>
    <mergeCell ref="A25:C25"/>
  </mergeCells>
  <phoneticPr fontId="11" type="noConversion"/>
  <printOptions horizontalCentered="1"/>
  <pageMargins left="0.75" right="0.75" top="0.97916666666666696" bottom="0.97916666666666696" header="0.50902777777777797" footer="0.50902777777777797"/>
  <pageSetup paperSize="9" orientation="portrait" blackAndWhite="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5"/>
  </sheetPr>
  <dimension ref="A1:C39"/>
  <sheetViews>
    <sheetView zoomScale="80" zoomScaleNormal="80" workbookViewId="0">
      <selection sqref="A1:C3"/>
    </sheetView>
  </sheetViews>
  <sheetFormatPr defaultColWidth="9" defaultRowHeight="14.25"/>
  <cols>
    <col min="1" max="1" width="42.875" style="42" customWidth="1"/>
    <col min="2" max="2" width="17.125" style="210" customWidth="1"/>
    <col min="3" max="3" width="13.875" style="42" customWidth="1"/>
    <col min="4" max="6" width="12.625" style="42" customWidth="1"/>
    <col min="7" max="16384" width="9" style="42"/>
  </cols>
  <sheetData>
    <row r="1" spans="1:3" ht="24" customHeight="1">
      <c r="A1" s="1098" t="s">
        <v>354</v>
      </c>
      <c r="B1" s="1098"/>
      <c r="C1" s="1098"/>
    </row>
    <row r="2" spans="1:3" ht="18" hidden="1" customHeight="1">
      <c r="A2" s="668"/>
      <c r="B2" s="669"/>
      <c r="C2" s="670"/>
    </row>
    <row r="3" spans="1:3" ht="20.25" customHeight="1">
      <c r="A3" s="668"/>
      <c r="B3" s="669"/>
      <c r="C3" s="671" t="s">
        <v>37</v>
      </c>
    </row>
    <row r="4" spans="1:3" ht="21" customHeight="1">
      <c r="A4" s="672" t="s">
        <v>38</v>
      </c>
      <c r="B4" s="673" t="s">
        <v>355</v>
      </c>
      <c r="C4" s="672" t="s">
        <v>5</v>
      </c>
    </row>
    <row r="5" spans="1:3" ht="17.100000000000001" customHeight="1">
      <c r="A5" s="674" t="s">
        <v>356</v>
      </c>
      <c r="B5" s="675">
        <v>3434.3332999999998</v>
      </c>
      <c r="C5" s="676">
        <v>7.1</v>
      </c>
    </row>
    <row r="6" spans="1:3" ht="17.100000000000001" customHeight="1">
      <c r="A6" s="677" t="s">
        <v>357</v>
      </c>
      <c r="B6" s="675">
        <v>3430.1084000000001</v>
      </c>
      <c r="C6" s="678">
        <v>7.1</v>
      </c>
    </row>
    <row r="7" spans="1:3" ht="17.100000000000001" customHeight="1">
      <c r="A7" s="679" t="s">
        <v>358</v>
      </c>
      <c r="B7" s="675">
        <v>2252.3645999999999</v>
      </c>
      <c r="C7" s="678">
        <v>10.1</v>
      </c>
    </row>
    <row r="8" spans="1:3" ht="17.100000000000001" customHeight="1">
      <c r="A8" s="677" t="s">
        <v>359</v>
      </c>
      <c r="B8" s="675">
        <v>563.42319999999995</v>
      </c>
      <c r="C8" s="678">
        <v>-4.9000000000000004</v>
      </c>
    </row>
    <row r="9" spans="1:3" ht="17.100000000000001" customHeight="1">
      <c r="A9" s="677" t="s">
        <v>360</v>
      </c>
      <c r="B9" s="675">
        <v>614.18299999999999</v>
      </c>
      <c r="C9" s="678">
        <v>10.6</v>
      </c>
    </row>
    <row r="10" spans="1:3" ht="17.100000000000001" customHeight="1">
      <c r="A10" s="677" t="s">
        <v>361</v>
      </c>
      <c r="B10" s="675">
        <v>0.1376</v>
      </c>
      <c r="C10" s="678">
        <v>-98.7</v>
      </c>
    </row>
    <row r="11" spans="1:3" ht="17.100000000000001" customHeight="1">
      <c r="A11" s="677" t="s">
        <v>362</v>
      </c>
      <c r="B11" s="675">
        <v>4.2248999999999999</v>
      </c>
      <c r="C11" s="678">
        <v>1.4</v>
      </c>
    </row>
    <row r="12" spans="1:3" ht="17.100000000000001" customHeight="1">
      <c r="A12" s="680" t="s">
        <v>363</v>
      </c>
      <c r="B12" s="675">
        <v>2252.3542000000002</v>
      </c>
      <c r="C12" s="678">
        <v>15.9</v>
      </c>
    </row>
    <row r="13" spans="1:3" ht="17.100000000000001" customHeight="1">
      <c r="A13" s="677" t="s">
        <v>364</v>
      </c>
      <c r="B13" s="675">
        <v>2250.9823000000001</v>
      </c>
      <c r="C13" s="678">
        <v>15.9</v>
      </c>
    </row>
    <row r="14" spans="1:3" ht="17.100000000000001" customHeight="1">
      <c r="A14" s="679" t="s">
        <v>365</v>
      </c>
      <c r="B14" s="675">
        <v>863.87130000000002</v>
      </c>
      <c r="C14" s="678">
        <v>27.5</v>
      </c>
    </row>
    <row r="15" spans="1:3" ht="17.100000000000001" customHeight="1">
      <c r="A15" s="679" t="s">
        <v>366</v>
      </c>
      <c r="B15" s="675">
        <v>1387.1110000000001</v>
      </c>
      <c r="C15" s="678">
        <v>9.6999999999999993</v>
      </c>
    </row>
    <row r="16" spans="1:3" ht="17.100000000000001" customHeight="1">
      <c r="A16" s="679" t="s">
        <v>367</v>
      </c>
      <c r="B16" s="675">
        <v>0</v>
      </c>
      <c r="C16" s="678">
        <v>-100</v>
      </c>
    </row>
    <row r="17" spans="1:3" ht="17.100000000000001" customHeight="1">
      <c r="A17" s="677" t="s">
        <v>368</v>
      </c>
      <c r="B17" s="675">
        <v>1.3718999999999999</v>
      </c>
      <c r="C17" s="678">
        <v>46.3</v>
      </c>
    </row>
    <row r="18" spans="1:3" ht="17.100000000000001" customHeight="1">
      <c r="A18" s="680" t="s">
        <v>369</v>
      </c>
      <c r="B18" s="675">
        <v>3417.0484000000001</v>
      </c>
      <c r="C18" s="678">
        <v>7</v>
      </c>
    </row>
    <row r="19" spans="1:3" ht="17.100000000000001" customHeight="1">
      <c r="A19" s="677" t="s">
        <v>357</v>
      </c>
      <c r="B19" s="675">
        <v>3412.9654999999998</v>
      </c>
      <c r="C19" s="678">
        <v>7</v>
      </c>
    </row>
    <row r="20" spans="1:3" ht="17.100000000000001" customHeight="1">
      <c r="A20" s="679" t="s">
        <v>358</v>
      </c>
      <c r="B20" s="675">
        <v>2243.4474</v>
      </c>
      <c r="C20" s="678">
        <v>10.199999999999999</v>
      </c>
    </row>
    <row r="21" spans="1:3" ht="17.100000000000001" customHeight="1">
      <c r="A21" s="677" t="s">
        <v>370</v>
      </c>
      <c r="B21" s="675">
        <v>1217.8939</v>
      </c>
      <c r="C21" s="678">
        <v>9.6999999999999993</v>
      </c>
    </row>
    <row r="22" spans="1:3" ht="17.100000000000001" customHeight="1">
      <c r="A22" s="677" t="s">
        <v>359</v>
      </c>
      <c r="B22" s="675">
        <v>555.30190000000005</v>
      </c>
      <c r="C22" s="678">
        <v>-5.5</v>
      </c>
    </row>
    <row r="23" spans="1:3" ht="17.100000000000001" customHeight="1">
      <c r="A23" s="677" t="s">
        <v>360</v>
      </c>
      <c r="B23" s="675">
        <v>614.11389999999994</v>
      </c>
      <c r="C23" s="678">
        <v>10.6</v>
      </c>
    </row>
    <row r="24" spans="1:3" ht="17.100000000000001" customHeight="1">
      <c r="A24" s="677" t="s">
        <v>371</v>
      </c>
      <c r="B24" s="675">
        <v>532.46659999999997</v>
      </c>
      <c r="C24" s="678">
        <v>6.8</v>
      </c>
    </row>
    <row r="25" spans="1:3" ht="17.100000000000001" customHeight="1">
      <c r="A25" s="677" t="s">
        <v>361</v>
      </c>
      <c r="B25" s="675">
        <v>0.1023</v>
      </c>
      <c r="C25" s="678">
        <v>-99</v>
      </c>
    </row>
    <row r="26" spans="1:3" ht="17.100000000000001" customHeight="1">
      <c r="A26" s="677" t="s">
        <v>362</v>
      </c>
      <c r="B26" s="675">
        <v>4.0829000000000004</v>
      </c>
      <c r="C26" s="678">
        <v>1.2</v>
      </c>
    </row>
    <row r="27" spans="1:3" ht="17.100000000000001" customHeight="1">
      <c r="A27" s="680" t="s">
        <v>372</v>
      </c>
      <c r="B27" s="675">
        <v>2238.3539000000001</v>
      </c>
      <c r="C27" s="678">
        <v>15.9</v>
      </c>
    </row>
    <row r="28" spans="1:3" ht="17.100000000000001" customHeight="1">
      <c r="A28" s="677" t="s">
        <v>364</v>
      </c>
      <c r="B28" s="675">
        <v>2236.9823000000001</v>
      </c>
      <c r="C28" s="678">
        <v>15.8</v>
      </c>
    </row>
    <row r="29" spans="1:3" ht="17.100000000000001" customHeight="1">
      <c r="A29" s="679" t="s">
        <v>365</v>
      </c>
      <c r="B29" s="675">
        <v>863.83969999999999</v>
      </c>
      <c r="C29" s="678">
        <v>27.5</v>
      </c>
    </row>
    <row r="30" spans="1:3" ht="17.100000000000001" customHeight="1">
      <c r="A30" s="679" t="s">
        <v>373</v>
      </c>
      <c r="B30" s="675">
        <v>753.2912</v>
      </c>
      <c r="C30" s="678">
        <v>30.2</v>
      </c>
    </row>
    <row r="31" spans="1:3" ht="17.100000000000001" customHeight="1">
      <c r="A31" s="679" t="s">
        <v>366</v>
      </c>
      <c r="B31" s="675">
        <v>1373.1425999999999</v>
      </c>
      <c r="C31" s="678">
        <v>9.6</v>
      </c>
    </row>
    <row r="32" spans="1:3" ht="17.100000000000001" customHeight="1">
      <c r="A32" s="679" t="s">
        <v>374</v>
      </c>
      <c r="B32" s="675">
        <v>495.31549999999999</v>
      </c>
      <c r="C32" s="678">
        <v>3.1</v>
      </c>
    </row>
    <row r="33" spans="1:3" ht="17.100000000000001" customHeight="1">
      <c r="A33" s="679" t="s">
        <v>375</v>
      </c>
      <c r="B33" s="675">
        <v>761.20100000000002</v>
      </c>
      <c r="C33" s="678">
        <v>10.8</v>
      </c>
    </row>
    <row r="34" spans="1:3" ht="17.100000000000001" customHeight="1">
      <c r="A34" s="679" t="s">
        <v>367</v>
      </c>
      <c r="B34" s="675">
        <v>0</v>
      </c>
      <c r="C34" s="678">
        <v>-100</v>
      </c>
    </row>
    <row r="35" spans="1:3" ht="17.100000000000001" customHeight="1">
      <c r="A35" s="681" t="s">
        <v>368</v>
      </c>
      <c r="B35" s="675">
        <v>1.3715999999999999</v>
      </c>
      <c r="C35" s="682">
        <v>46.2</v>
      </c>
    </row>
    <row r="36" spans="1:3" ht="19.5" customHeight="1">
      <c r="A36" s="1099" t="s">
        <v>376</v>
      </c>
      <c r="B36" s="1099"/>
      <c r="C36" s="1099"/>
    </row>
    <row r="39" spans="1:3">
      <c r="A39" s="665"/>
      <c r="B39" s="683"/>
      <c r="C39" s="666"/>
    </row>
  </sheetData>
  <sheetProtection password="DC9E" sheet="1" objects="1" scenarios="1"/>
  <mergeCells count="2">
    <mergeCell ref="A1:C1"/>
    <mergeCell ref="A36:C36"/>
  </mergeCells>
  <phoneticPr fontId="11" type="noConversion"/>
  <pageMargins left="0.75" right="0.75" top="0.58888888888888902" bottom="0.58888888888888902" header="0.50902777777777797" footer="0.50902777777777797"/>
  <pageSetup paperSize="9" scale="93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/>
  </sheetPr>
  <dimension ref="A1:F25"/>
  <sheetViews>
    <sheetView zoomScale="80" zoomScaleNormal="80" workbookViewId="0">
      <selection activeCell="C8" sqref="C8"/>
    </sheetView>
  </sheetViews>
  <sheetFormatPr defaultColWidth="9" defaultRowHeight="14.25"/>
  <cols>
    <col min="1" max="1" width="28" style="541" customWidth="1"/>
    <col min="2" max="2" width="9.125" style="541" customWidth="1"/>
    <col min="3" max="4" width="11.625" style="541" customWidth="1"/>
    <col min="5" max="6" width="9.125" style="541" customWidth="1"/>
    <col min="7" max="16384" width="9" style="541"/>
  </cols>
  <sheetData>
    <row r="1" spans="1:6" ht="22.5">
      <c r="A1" s="1044" t="s">
        <v>0</v>
      </c>
      <c r="B1" s="1044"/>
      <c r="C1" s="1044"/>
      <c r="D1" s="1044"/>
      <c r="E1" s="1044"/>
      <c r="F1" s="1044"/>
    </row>
    <row r="2" spans="1:6">
      <c r="A2" s="1048" t="s">
        <v>1</v>
      </c>
      <c r="B2" s="1049" t="s">
        <v>2</v>
      </c>
      <c r="C2" s="1045" t="s">
        <v>3</v>
      </c>
      <c r="D2" s="1046"/>
      <c r="E2" s="1045">
        <v>43466</v>
      </c>
      <c r="F2" s="1046"/>
    </row>
    <row r="3" spans="1:6">
      <c r="A3" s="1048"/>
      <c r="B3" s="1050"/>
      <c r="C3" s="1023" t="s">
        <v>4</v>
      </c>
      <c r="D3" s="1023" t="s">
        <v>5</v>
      </c>
      <c r="E3" s="1023" t="s">
        <v>4</v>
      </c>
      <c r="F3" s="1023" t="s">
        <v>5</v>
      </c>
    </row>
    <row r="4" spans="1:6" ht="27.95" customHeight="1">
      <c r="A4" s="1024" t="s">
        <v>6</v>
      </c>
      <c r="B4" s="1025" t="s">
        <v>7</v>
      </c>
      <c r="C4" s="1026" t="s">
        <v>8</v>
      </c>
      <c r="D4" s="1026" t="s">
        <v>8</v>
      </c>
      <c r="E4" s="1027" t="s">
        <v>8</v>
      </c>
      <c r="F4" s="1028" t="s">
        <v>8</v>
      </c>
    </row>
    <row r="5" spans="1:6" ht="27.95" customHeight="1">
      <c r="A5" s="1024" t="s">
        <v>9</v>
      </c>
      <c r="B5" s="1025" t="s">
        <v>7</v>
      </c>
      <c r="C5" s="1029">
        <v>340.39</v>
      </c>
      <c r="D5" s="1030">
        <v>4.0999999999999996</v>
      </c>
      <c r="E5" s="1027" t="s">
        <v>8</v>
      </c>
      <c r="F5" s="1028" t="s">
        <v>8</v>
      </c>
    </row>
    <row r="6" spans="1:6" ht="27.95" customHeight="1">
      <c r="A6" s="1024" t="s">
        <v>10</v>
      </c>
      <c r="B6" s="1025" t="s">
        <v>7</v>
      </c>
      <c r="C6" s="1029">
        <v>108.21</v>
      </c>
      <c r="D6" s="1030">
        <v>3.7</v>
      </c>
      <c r="E6" s="1027" t="s">
        <v>8</v>
      </c>
      <c r="F6" s="1028" t="s">
        <v>8</v>
      </c>
    </row>
    <row r="7" spans="1:6" ht="27.95" customHeight="1">
      <c r="A7" s="1024" t="s">
        <v>11</v>
      </c>
      <c r="B7" s="1025" t="s">
        <v>7</v>
      </c>
      <c r="C7" s="1026"/>
      <c r="D7" s="1031">
        <v>16.100000000000001</v>
      </c>
      <c r="E7" s="1027" t="s">
        <v>8</v>
      </c>
      <c r="F7" s="1027" t="s">
        <v>8</v>
      </c>
    </row>
    <row r="8" spans="1:6" ht="27.95" customHeight="1">
      <c r="A8" s="1024" t="s">
        <v>12</v>
      </c>
      <c r="B8" s="1025" t="s">
        <v>7</v>
      </c>
      <c r="C8" s="1026"/>
      <c r="D8" s="1031">
        <v>17.8</v>
      </c>
      <c r="E8" s="1027" t="s">
        <v>8</v>
      </c>
      <c r="F8" s="1027" t="s">
        <v>8</v>
      </c>
    </row>
    <row r="9" spans="1:6" ht="27.95" customHeight="1">
      <c r="A9" s="1024" t="s">
        <v>13</v>
      </c>
      <c r="B9" s="1025" t="s">
        <v>14</v>
      </c>
      <c r="C9" s="1026">
        <v>68.721299999999999</v>
      </c>
      <c r="D9" s="1031">
        <v>-6.9</v>
      </c>
      <c r="E9" s="1027" t="s">
        <v>8</v>
      </c>
      <c r="F9" s="1027" t="s">
        <v>8</v>
      </c>
    </row>
    <row r="10" spans="1:6" ht="27.95" customHeight="1">
      <c r="A10" s="1024" t="s">
        <v>15</v>
      </c>
      <c r="B10" s="1025" t="s">
        <v>7</v>
      </c>
      <c r="C10" s="1032">
        <v>298.7004</v>
      </c>
      <c r="D10" s="1033">
        <v>8.1</v>
      </c>
      <c r="E10" s="1027" t="s">
        <v>8</v>
      </c>
      <c r="F10" s="1027" t="s">
        <v>8</v>
      </c>
    </row>
    <row r="11" spans="1:6" ht="27.95" customHeight="1">
      <c r="A11" s="1024" t="s">
        <v>16</v>
      </c>
      <c r="B11" s="1025" t="s">
        <v>7</v>
      </c>
      <c r="C11" s="1032">
        <v>24.87</v>
      </c>
      <c r="D11" s="1033">
        <v>11.8</v>
      </c>
      <c r="E11" s="1027">
        <v>17.38</v>
      </c>
      <c r="F11" s="1028">
        <v>32.200000000000003</v>
      </c>
    </row>
    <row r="12" spans="1:6" ht="27.95" customHeight="1">
      <c r="A12" s="1024" t="s">
        <v>17</v>
      </c>
      <c r="B12" s="1025" t="s">
        <v>7</v>
      </c>
      <c r="C12" s="1032">
        <v>66.73</v>
      </c>
      <c r="D12" s="1033">
        <v>16</v>
      </c>
      <c r="E12" s="1027">
        <v>35.69</v>
      </c>
      <c r="F12" s="1028">
        <v>68.8</v>
      </c>
    </row>
    <row r="13" spans="1:6" ht="27.95" customHeight="1">
      <c r="A13" s="1024" t="s">
        <v>18</v>
      </c>
      <c r="B13" s="1025" t="s">
        <v>7</v>
      </c>
      <c r="C13" s="1032">
        <v>116.52</v>
      </c>
      <c r="D13" s="1033">
        <v>12.8</v>
      </c>
      <c r="E13" s="1027">
        <v>68.61</v>
      </c>
      <c r="F13" s="1028">
        <v>28.2</v>
      </c>
    </row>
    <row r="14" spans="1:6" ht="27.95" customHeight="1">
      <c r="A14" s="1024" t="s">
        <v>19</v>
      </c>
      <c r="B14" s="1025" t="s">
        <v>7</v>
      </c>
      <c r="C14" s="1034">
        <v>36.799999999999997</v>
      </c>
      <c r="D14" s="1035">
        <v>44.4</v>
      </c>
      <c r="E14" s="1027">
        <v>377.03</v>
      </c>
      <c r="F14" s="1028">
        <v>9</v>
      </c>
    </row>
    <row r="15" spans="1:6" ht="27.95" customHeight="1">
      <c r="A15" s="1024" t="s">
        <v>20</v>
      </c>
      <c r="B15" s="1025" t="s">
        <v>7</v>
      </c>
      <c r="C15" s="1034">
        <v>20.59</v>
      </c>
      <c r="D15" s="1035">
        <v>29.8</v>
      </c>
      <c r="E15" s="1027">
        <v>205.03</v>
      </c>
      <c r="F15" s="1028">
        <v>-5.5</v>
      </c>
    </row>
    <row r="16" spans="1:6" ht="27.95" customHeight="1">
      <c r="A16" s="1024" t="s">
        <v>21</v>
      </c>
      <c r="B16" s="1025" t="s">
        <v>7</v>
      </c>
      <c r="C16" s="1036">
        <v>16.22</v>
      </c>
      <c r="D16" s="1035">
        <v>68.5</v>
      </c>
      <c r="E16" s="1027">
        <v>172</v>
      </c>
      <c r="F16" s="1028">
        <v>33.5</v>
      </c>
    </row>
    <row r="17" spans="1:6" ht="27.95" customHeight="1">
      <c r="A17" s="1037" t="s">
        <v>22</v>
      </c>
      <c r="B17" s="1025" t="s">
        <v>23</v>
      </c>
      <c r="C17" s="1038">
        <v>1197</v>
      </c>
      <c r="D17" s="1035">
        <v>5.7</v>
      </c>
      <c r="E17" s="1039">
        <v>723</v>
      </c>
      <c r="F17" s="1040">
        <v>8.18</v>
      </c>
    </row>
    <row r="18" spans="1:6" ht="27.95" customHeight="1">
      <c r="A18" s="1024" t="s">
        <v>24</v>
      </c>
      <c r="B18" s="1025" t="s">
        <v>7</v>
      </c>
      <c r="C18" s="1032">
        <v>3434.33</v>
      </c>
      <c r="D18" s="1033">
        <v>7.1</v>
      </c>
      <c r="E18" s="1027">
        <v>3333.67</v>
      </c>
      <c r="F18" s="1028">
        <v>7.6</v>
      </c>
    </row>
    <row r="19" spans="1:6" ht="27.95" customHeight="1">
      <c r="A19" s="1024" t="s">
        <v>25</v>
      </c>
      <c r="B19" s="1025" t="s">
        <v>7</v>
      </c>
      <c r="C19" s="1032">
        <v>2252.36</v>
      </c>
      <c r="D19" s="1033">
        <v>10.1</v>
      </c>
      <c r="E19" s="1027">
        <v>2191.2199999999998</v>
      </c>
      <c r="F19" s="1028">
        <v>12</v>
      </c>
    </row>
    <row r="20" spans="1:6" ht="27.95" customHeight="1">
      <c r="A20" s="1024" t="s">
        <v>26</v>
      </c>
      <c r="B20" s="1025" t="s">
        <v>7</v>
      </c>
      <c r="C20" s="1032">
        <v>2252.35</v>
      </c>
      <c r="D20" s="1033">
        <v>15.9</v>
      </c>
      <c r="E20" s="1027">
        <v>2269.7800000000002</v>
      </c>
      <c r="F20" s="1028">
        <v>19.600000000000001</v>
      </c>
    </row>
    <row r="21" spans="1:6" ht="27.95" customHeight="1">
      <c r="A21" s="1024" t="s">
        <v>27</v>
      </c>
      <c r="B21" s="1025" t="s">
        <v>28</v>
      </c>
      <c r="C21" s="1033">
        <v>101.6</v>
      </c>
      <c r="D21" s="1033">
        <v>1.6</v>
      </c>
      <c r="E21" s="1027">
        <v>101.9</v>
      </c>
      <c r="F21" s="1028">
        <v>1.9</v>
      </c>
    </row>
    <row r="22" spans="1:6" ht="27.95" customHeight="1">
      <c r="A22" s="1024" t="s">
        <v>29</v>
      </c>
      <c r="B22" s="1025" t="s">
        <v>28</v>
      </c>
      <c r="C22" s="1033">
        <v>100.4</v>
      </c>
      <c r="D22" s="1033">
        <v>0.4</v>
      </c>
      <c r="E22" s="1027">
        <v>100.1</v>
      </c>
      <c r="F22" s="1028">
        <v>0.1</v>
      </c>
    </row>
    <row r="23" spans="1:6" ht="27.95" customHeight="1">
      <c r="A23" s="1024" t="s">
        <v>30</v>
      </c>
      <c r="B23" s="1025" t="s">
        <v>31</v>
      </c>
      <c r="C23" s="1032">
        <v>29.1554</v>
      </c>
      <c r="D23" s="1033">
        <v>7.36</v>
      </c>
      <c r="E23" s="1041">
        <v>15.6251</v>
      </c>
      <c r="F23" s="1028">
        <v>9.0299999999999994</v>
      </c>
    </row>
    <row r="24" spans="1:6" ht="27.95" customHeight="1">
      <c r="A24" s="1024" t="s">
        <v>32</v>
      </c>
      <c r="B24" s="1025" t="s">
        <v>31</v>
      </c>
      <c r="C24" s="1042">
        <v>17.8917</v>
      </c>
      <c r="D24" s="1043">
        <v>6</v>
      </c>
      <c r="E24" s="1041">
        <v>9.5556000000000001</v>
      </c>
      <c r="F24" s="1028">
        <v>4.79</v>
      </c>
    </row>
    <row r="25" spans="1:6">
      <c r="A25" s="1047" t="s">
        <v>33</v>
      </c>
      <c r="B25" s="1047"/>
      <c r="C25" s="1047"/>
      <c r="D25" s="1047"/>
      <c r="E25" s="1047"/>
      <c r="F25" s="1047"/>
    </row>
  </sheetData>
  <sheetProtection password="DC9E" sheet="1" objects="1" scenarios="1"/>
  <mergeCells count="6">
    <mergeCell ref="A1:F1"/>
    <mergeCell ref="C2:D2"/>
    <mergeCell ref="E2:F2"/>
    <mergeCell ref="A25:F25"/>
    <mergeCell ref="A2:A3"/>
    <mergeCell ref="B2:B3"/>
  </mergeCells>
  <phoneticPr fontId="11" type="noConversion"/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5"/>
  </sheetPr>
  <dimension ref="A1:H37"/>
  <sheetViews>
    <sheetView zoomScale="80" zoomScaleNormal="80" workbookViewId="0">
      <selection activeCell="G6" sqref="G6"/>
    </sheetView>
  </sheetViews>
  <sheetFormatPr defaultColWidth="9" defaultRowHeight="14.25"/>
  <cols>
    <col min="1" max="1" width="34.25" style="42" customWidth="1"/>
    <col min="2" max="2" width="10" style="42" customWidth="1"/>
    <col min="3" max="3" width="15.25" style="42" customWidth="1"/>
    <col min="4" max="4" width="15.25" style="50" customWidth="1"/>
    <col min="5" max="16384" width="9" style="42"/>
  </cols>
  <sheetData>
    <row r="1" spans="1:4" ht="40.5" customHeight="1">
      <c r="A1" s="1100" t="s">
        <v>377</v>
      </c>
      <c r="B1" s="1100"/>
      <c r="C1" s="1100"/>
      <c r="D1" s="1100"/>
    </row>
    <row r="2" spans="1:4" ht="18" hidden="1" customHeight="1">
      <c r="A2" s="641"/>
      <c r="B2" s="641"/>
      <c r="C2" s="642"/>
      <c r="D2" s="643"/>
    </row>
    <row r="3" spans="1:4" ht="15" customHeight="1">
      <c r="A3" s="641"/>
      <c r="B3" s="641"/>
      <c r="C3" s="642"/>
      <c r="D3" s="644"/>
    </row>
    <row r="4" spans="1:4" ht="31.5" customHeight="1">
      <c r="A4" s="645" t="s">
        <v>38</v>
      </c>
      <c r="B4" s="646" t="s">
        <v>2</v>
      </c>
      <c r="C4" s="646" t="s">
        <v>378</v>
      </c>
      <c r="D4" s="647" t="s">
        <v>5</v>
      </c>
    </row>
    <row r="5" spans="1:4" ht="18.95" customHeight="1">
      <c r="A5" s="648" t="s">
        <v>379</v>
      </c>
      <c r="B5" s="649" t="s">
        <v>7</v>
      </c>
      <c r="C5" s="650">
        <v>36.802900000000001</v>
      </c>
      <c r="D5" s="651">
        <v>44.4</v>
      </c>
    </row>
    <row r="6" spans="1:4" ht="18.95" customHeight="1">
      <c r="A6" s="652" t="s">
        <v>380</v>
      </c>
      <c r="B6" s="649" t="s">
        <v>7</v>
      </c>
      <c r="C6" s="650">
        <v>20.587800000000001</v>
      </c>
      <c r="D6" s="653">
        <v>29.8</v>
      </c>
    </row>
    <row r="7" spans="1:4" ht="18.95" customHeight="1">
      <c r="A7" s="652" t="s">
        <v>381</v>
      </c>
      <c r="B7" s="649"/>
      <c r="C7" s="650"/>
      <c r="D7" s="653"/>
    </row>
    <row r="8" spans="1:4" ht="18.95" customHeight="1">
      <c r="A8" s="652" t="s">
        <v>382</v>
      </c>
      <c r="B8" s="649" t="s">
        <v>7</v>
      </c>
      <c r="C8" s="650">
        <v>19.807200000000002</v>
      </c>
      <c r="D8" s="653">
        <v>38.4</v>
      </c>
    </row>
    <row r="9" spans="1:4" ht="18.95" customHeight="1">
      <c r="A9" s="652" t="s">
        <v>383</v>
      </c>
      <c r="B9" s="649" t="s">
        <v>7</v>
      </c>
      <c r="C9" s="650">
        <v>0.16339999999999999</v>
      </c>
      <c r="D9" s="653">
        <v>-74.3</v>
      </c>
    </row>
    <row r="10" spans="1:4" ht="18.95" customHeight="1">
      <c r="A10" s="652" t="s">
        <v>384</v>
      </c>
      <c r="B10" s="649" t="s">
        <v>7</v>
      </c>
      <c r="C10" s="650">
        <v>0.56979999999999997</v>
      </c>
      <c r="D10" s="653">
        <v>-36.9</v>
      </c>
    </row>
    <row r="11" spans="1:4" ht="18.95" customHeight="1">
      <c r="A11" s="652" t="s">
        <v>385</v>
      </c>
      <c r="B11" s="649" t="s">
        <v>7</v>
      </c>
      <c r="C11" s="650">
        <v>3.1899999999999998E-2</v>
      </c>
      <c r="D11" s="653">
        <v>361.1</v>
      </c>
    </row>
    <row r="12" spans="1:4" ht="18.95" customHeight="1">
      <c r="A12" s="652" t="s">
        <v>386</v>
      </c>
      <c r="B12" s="649"/>
      <c r="C12" s="650"/>
      <c r="D12" s="653"/>
    </row>
    <row r="13" spans="1:4" ht="18.95" customHeight="1">
      <c r="A13" s="652" t="s">
        <v>387</v>
      </c>
      <c r="B13" s="649" t="s">
        <v>7</v>
      </c>
      <c r="C13" s="650">
        <v>3.9948999999999999</v>
      </c>
      <c r="D13" s="653">
        <v>182.7</v>
      </c>
    </row>
    <row r="14" spans="1:4" ht="18.95" customHeight="1">
      <c r="A14" s="652" t="s">
        <v>388</v>
      </c>
      <c r="B14" s="649" t="s">
        <v>7</v>
      </c>
      <c r="C14" s="650">
        <v>5.0686</v>
      </c>
      <c r="D14" s="653">
        <v>-1.3</v>
      </c>
    </row>
    <row r="15" spans="1:4" ht="18.95" customHeight="1">
      <c r="A15" s="652" t="s">
        <v>389</v>
      </c>
      <c r="B15" s="649" t="s">
        <v>7</v>
      </c>
      <c r="C15" s="650">
        <v>8.4900000000000003E-2</v>
      </c>
      <c r="D15" s="653">
        <v>-22.6</v>
      </c>
    </row>
    <row r="16" spans="1:4" ht="18.95" customHeight="1">
      <c r="A16" s="652" t="s">
        <v>390</v>
      </c>
      <c r="B16" s="649" t="s">
        <v>7</v>
      </c>
      <c r="C16" s="650">
        <v>11.316800000000001</v>
      </c>
      <c r="D16" s="653">
        <v>23.2</v>
      </c>
    </row>
    <row r="17" spans="1:4" ht="18.95" customHeight="1">
      <c r="A17" s="654" t="s">
        <v>391</v>
      </c>
      <c r="B17" s="649"/>
      <c r="C17" s="650"/>
      <c r="D17" s="653"/>
    </row>
    <row r="18" spans="1:4" ht="18.95" customHeight="1">
      <c r="A18" s="655" t="s">
        <v>392</v>
      </c>
      <c r="B18" s="649" t="s">
        <v>7</v>
      </c>
      <c r="C18" s="650">
        <v>4.5705</v>
      </c>
      <c r="D18" s="653">
        <v>138.9</v>
      </c>
    </row>
    <row r="19" spans="1:4" ht="18.95" customHeight="1">
      <c r="A19" s="655" t="s">
        <v>393</v>
      </c>
      <c r="B19" s="649" t="s">
        <v>7</v>
      </c>
      <c r="C19" s="650">
        <v>3.4510000000000001</v>
      </c>
      <c r="D19" s="653">
        <v>148</v>
      </c>
    </row>
    <row r="20" spans="1:4" ht="18.95" customHeight="1">
      <c r="A20" s="655" t="s">
        <v>394</v>
      </c>
      <c r="B20" s="649" t="s">
        <v>7</v>
      </c>
      <c r="C20" s="650">
        <v>1.5818000000000001</v>
      </c>
      <c r="D20" s="653">
        <v>-57</v>
      </c>
    </row>
    <row r="21" spans="1:4" ht="18.95" customHeight="1">
      <c r="A21" s="656" t="s">
        <v>395</v>
      </c>
      <c r="B21" s="649" t="s">
        <v>7</v>
      </c>
      <c r="C21" s="650">
        <v>1.0422</v>
      </c>
      <c r="D21" s="653">
        <v>29.3</v>
      </c>
    </row>
    <row r="22" spans="1:4" ht="18.95" customHeight="1">
      <c r="A22" s="655" t="s">
        <v>396</v>
      </c>
      <c r="B22" s="649" t="s">
        <v>7</v>
      </c>
      <c r="C22" s="650">
        <v>0.87619999999999998</v>
      </c>
      <c r="D22" s="653">
        <v>4.7</v>
      </c>
    </row>
    <row r="23" spans="1:4" ht="18.95" customHeight="1">
      <c r="A23" s="657" t="s">
        <v>397</v>
      </c>
      <c r="B23" s="649" t="s">
        <v>7</v>
      </c>
      <c r="C23" s="650">
        <v>16.2151</v>
      </c>
      <c r="D23" s="653">
        <v>68.5</v>
      </c>
    </row>
    <row r="24" spans="1:4" ht="18.95" customHeight="1">
      <c r="A24" s="657" t="s">
        <v>398</v>
      </c>
      <c r="B24" s="649"/>
      <c r="C24" s="650"/>
      <c r="D24" s="653"/>
    </row>
    <row r="25" spans="1:4" ht="18.95" customHeight="1">
      <c r="A25" s="657" t="s">
        <v>399</v>
      </c>
      <c r="B25" s="649" t="s">
        <v>7</v>
      </c>
      <c r="C25" s="650">
        <v>12.7912</v>
      </c>
      <c r="D25" s="653">
        <v>62.5</v>
      </c>
    </row>
    <row r="26" spans="1:4" ht="18.95" customHeight="1">
      <c r="A26" s="657" t="s">
        <v>400</v>
      </c>
      <c r="B26" s="649" t="s">
        <v>7</v>
      </c>
      <c r="C26" s="650">
        <v>5.7999999999999996E-3</v>
      </c>
      <c r="D26" s="653">
        <v>-98.1</v>
      </c>
    </row>
    <row r="27" spans="1:4" ht="18.95" customHeight="1">
      <c r="A27" s="657" t="s">
        <v>401</v>
      </c>
      <c r="B27" s="649" t="s">
        <v>7</v>
      </c>
      <c r="C27" s="650">
        <v>0.9929</v>
      </c>
      <c r="D27" s="653">
        <v>99.6</v>
      </c>
    </row>
    <row r="28" spans="1:4" ht="18.95" customHeight="1">
      <c r="A28" s="657" t="s">
        <v>402</v>
      </c>
      <c r="B28" s="649" t="s">
        <v>7</v>
      </c>
      <c r="C28" s="650">
        <v>2.4230999999999998</v>
      </c>
      <c r="D28" s="653">
        <v>164.9</v>
      </c>
    </row>
    <row r="29" spans="1:4" ht="18.95" customHeight="1">
      <c r="A29" s="652" t="s">
        <v>403</v>
      </c>
      <c r="B29" s="649"/>
      <c r="C29" s="658"/>
      <c r="D29" s="659"/>
    </row>
    <row r="30" spans="1:4" ht="18.95" customHeight="1">
      <c r="A30" s="652" t="s">
        <v>404</v>
      </c>
      <c r="B30" s="649" t="s">
        <v>109</v>
      </c>
      <c r="C30" s="660">
        <v>3</v>
      </c>
      <c r="D30" s="659">
        <v>-75</v>
      </c>
    </row>
    <row r="31" spans="1:4" ht="18.95" customHeight="1">
      <c r="A31" s="652" t="s">
        <v>405</v>
      </c>
      <c r="B31" s="649" t="s">
        <v>23</v>
      </c>
      <c r="C31" s="658">
        <v>47422</v>
      </c>
      <c r="D31" s="659">
        <v>1744.5</v>
      </c>
    </row>
    <row r="32" spans="1:4" ht="18.95" customHeight="1">
      <c r="A32" s="661" t="s">
        <v>406</v>
      </c>
      <c r="B32" s="662" t="s">
        <v>23</v>
      </c>
      <c r="C32" s="663">
        <v>1197</v>
      </c>
      <c r="D32" s="664">
        <v>5.7</v>
      </c>
    </row>
    <row r="33" spans="1:8" ht="16.5" customHeight="1">
      <c r="A33" s="1101" t="s">
        <v>407</v>
      </c>
      <c r="B33" s="1101"/>
      <c r="C33" s="1101"/>
      <c r="D33" s="1101"/>
    </row>
    <row r="36" spans="1:8">
      <c r="B36" s="42" t="s">
        <v>408</v>
      </c>
    </row>
    <row r="37" spans="1:8">
      <c r="A37" s="665"/>
      <c r="B37" s="665"/>
      <c r="C37" s="666"/>
      <c r="D37" s="667"/>
      <c r="E37" s="666"/>
      <c r="F37" s="666"/>
      <c r="G37" s="666"/>
      <c r="H37" s="666"/>
    </row>
  </sheetData>
  <sheetProtection password="DC9E" sheet="1" objects="1" scenarios="1"/>
  <mergeCells count="2">
    <mergeCell ref="A1:D1"/>
    <mergeCell ref="A33:D33"/>
  </mergeCells>
  <phoneticPr fontId="11" type="noConversion"/>
  <printOptions horizontalCentered="1"/>
  <pageMargins left="0.75" right="0.75" top="0.78888888888888897" bottom="0.78888888888888897" header="0.50902777777777797" footer="0.50902777777777797"/>
  <pageSetup paperSize="9" orientation="portrait" blackAndWhite="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</sheetPr>
  <dimension ref="A1:AG24"/>
  <sheetViews>
    <sheetView topLeftCell="AE1" zoomScale="90" zoomScaleNormal="90" workbookViewId="0">
      <selection activeCell="AK7" sqref="AK7"/>
    </sheetView>
  </sheetViews>
  <sheetFormatPr defaultColWidth="9" defaultRowHeight="14.25"/>
  <cols>
    <col min="1" max="1" width="18.25" style="253" hidden="1" customWidth="1"/>
    <col min="2" max="5" width="9" style="253" hidden="1" customWidth="1"/>
    <col min="6" max="6" width="27.25" style="609" hidden="1" customWidth="1"/>
    <col min="7" max="7" width="12" style="253" hidden="1" customWidth="1"/>
    <col min="8" max="8" width="14.375" style="253" hidden="1" customWidth="1"/>
    <col min="9" max="14" width="9" style="253" hidden="1" customWidth="1"/>
    <col min="15" max="15" width="21.125" style="253" hidden="1" customWidth="1"/>
    <col min="16" max="16" width="11.875" style="253" hidden="1" customWidth="1"/>
    <col min="17" max="20" width="9" style="253" hidden="1" customWidth="1"/>
    <col min="21" max="21" width="23.625" style="253" hidden="1" customWidth="1"/>
    <col min="22" max="30" width="9" style="253" hidden="1" customWidth="1"/>
    <col min="31" max="31" width="36.375" style="253" customWidth="1"/>
    <col min="32" max="33" width="16.625" style="253" customWidth="1"/>
    <col min="34" max="34" width="9.5" style="253" customWidth="1"/>
    <col min="35" max="16384" width="9" style="253"/>
  </cols>
  <sheetData>
    <row r="1" spans="1:33" ht="34.5" customHeight="1">
      <c r="A1" s="1103"/>
      <c r="B1" s="1103"/>
      <c r="C1" s="1103"/>
      <c r="D1" s="1103"/>
      <c r="E1" s="1107"/>
      <c r="F1" s="1061"/>
      <c r="G1" s="1061"/>
      <c r="H1" s="1062"/>
      <c r="I1" s="309"/>
      <c r="J1" s="1103"/>
      <c r="K1" s="1103"/>
      <c r="L1" s="1103"/>
      <c r="M1" s="1103"/>
      <c r="N1" s="1108"/>
      <c r="O1" s="1109"/>
      <c r="P1" s="1109"/>
      <c r="Q1" s="1109"/>
      <c r="R1" s="1062"/>
      <c r="S1" s="309"/>
      <c r="U1" s="1108"/>
      <c r="V1" s="1109"/>
      <c r="W1" s="1109"/>
      <c r="X1" s="1109"/>
      <c r="Y1" s="1062"/>
      <c r="Z1" s="1103"/>
      <c r="AA1" s="1103"/>
      <c r="AB1" s="1103"/>
      <c r="AC1" s="1103"/>
      <c r="AD1" s="1104" t="s">
        <v>409</v>
      </c>
      <c r="AE1" s="1104"/>
      <c r="AF1" s="1104"/>
      <c r="AG1" s="1105"/>
    </row>
    <row r="2" spans="1:33" ht="17.25" hidden="1" customHeight="1">
      <c r="A2" s="309"/>
      <c r="B2" s="1106"/>
      <c r="C2" s="1103"/>
      <c r="D2" s="1106"/>
      <c r="E2" s="1103"/>
      <c r="F2" s="612"/>
      <c r="G2" s="309"/>
      <c r="H2" s="309"/>
      <c r="I2" s="309"/>
      <c r="J2" s="309"/>
      <c r="K2" s="1106"/>
      <c r="L2" s="1103"/>
      <c r="M2" s="1106"/>
      <c r="N2" s="1103"/>
      <c r="O2" s="309"/>
      <c r="P2" s="309"/>
      <c r="Q2" s="309"/>
      <c r="R2" s="309"/>
      <c r="S2" s="309"/>
      <c r="U2" s="309"/>
      <c r="V2" s="309"/>
      <c r="W2" s="309"/>
      <c r="X2" s="309"/>
      <c r="Y2" s="309"/>
      <c r="Z2" s="309"/>
      <c r="AA2" s="1106"/>
      <c r="AB2" s="1103"/>
      <c r="AC2" s="1106"/>
      <c r="AD2" s="1103"/>
      <c r="AE2" s="609"/>
    </row>
    <row r="3" spans="1:33" ht="17.25" hidden="1" customHeight="1">
      <c r="A3" s="309"/>
      <c r="B3" s="611"/>
      <c r="C3" s="288"/>
      <c r="D3" s="611"/>
      <c r="E3" s="288"/>
      <c r="F3" s="612"/>
      <c r="G3" s="309"/>
      <c r="H3" s="309"/>
      <c r="I3" s="309"/>
      <c r="J3" s="552"/>
      <c r="K3" s="552"/>
      <c r="L3" s="610"/>
      <c r="M3" s="552"/>
      <c r="N3" s="552"/>
      <c r="O3" s="552"/>
      <c r="P3" s="552"/>
      <c r="Q3" s="610"/>
      <c r="R3" s="552"/>
      <c r="S3" s="309"/>
      <c r="U3" s="552"/>
      <c r="V3" s="552"/>
      <c r="W3" s="610"/>
      <c r="X3" s="552"/>
      <c r="Y3" s="309"/>
      <c r="Z3" s="309"/>
      <c r="AA3" s="611"/>
      <c r="AB3" s="288"/>
      <c r="AC3" s="611"/>
      <c r="AD3" s="288"/>
      <c r="AE3" s="609"/>
    </row>
    <row r="4" spans="1:33" ht="22.5" customHeight="1">
      <c r="A4" s="309"/>
      <c r="B4" s="611"/>
      <c r="C4" s="288"/>
      <c r="D4" s="611"/>
      <c r="E4" s="288"/>
      <c r="F4" s="612"/>
      <c r="G4" s="309"/>
      <c r="H4" s="309"/>
      <c r="I4" s="309"/>
      <c r="J4" s="552"/>
      <c r="K4" s="552"/>
      <c r="L4" s="610"/>
      <c r="M4" s="552"/>
      <c r="N4" s="552"/>
      <c r="O4" s="552"/>
      <c r="P4" s="552"/>
      <c r="Q4" s="610"/>
      <c r="R4" s="552"/>
      <c r="S4" s="309"/>
      <c r="U4" s="552"/>
      <c r="V4" s="552"/>
      <c r="W4" s="610"/>
      <c r="X4" s="552"/>
      <c r="Y4" s="309"/>
      <c r="Z4" s="309"/>
      <c r="AA4" s="611"/>
      <c r="AB4" s="288"/>
      <c r="AC4" s="611"/>
      <c r="AD4" s="288"/>
      <c r="AE4" s="609"/>
      <c r="AG4" s="253" t="s">
        <v>410</v>
      </c>
    </row>
    <row r="5" spans="1:33" s="608" customFormat="1" ht="30" customHeight="1">
      <c r="A5" s="288"/>
      <c r="B5" s="288"/>
      <c r="C5" s="611"/>
      <c r="D5" s="288"/>
      <c r="E5" s="288"/>
      <c r="F5" s="613"/>
      <c r="G5" s="611"/>
      <c r="H5" s="288"/>
      <c r="I5" s="621"/>
      <c r="J5" s="614"/>
      <c r="K5" s="615"/>
      <c r="L5" s="621"/>
      <c r="M5" s="621"/>
      <c r="N5" s="621"/>
      <c r="O5" s="614"/>
      <c r="P5" s="621"/>
      <c r="Q5" s="621"/>
      <c r="R5" s="621"/>
      <c r="S5" s="621"/>
      <c r="U5" s="624"/>
      <c r="V5" s="621"/>
      <c r="W5" s="621"/>
      <c r="X5" s="621"/>
      <c r="Y5" s="621"/>
      <c r="Z5" s="288"/>
      <c r="AA5" s="288"/>
      <c r="AB5" s="611"/>
      <c r="AC5" s="288"/>
      <c r="AD5" s="288"/>
      <c r="AE5" s="627" t="s">
        <v>38</v>
      </c>
      <c r="AF5" s="628" t="s">
        <v>34</v>
      </c>
      <c r="AG5" s="637" t="s">
        <v>5</v>
      </c>
    </row>
    <row r="6" spans="1:33" ht="24.95" customHeight="1">
      <c r="A6" s="614"/>
      <c r="B6" s="615"/>
      <c r="C6" s="582"/>
      <c r="D6" s="309"/>
      <c r="E6" s="309"/>
      <c r="F6" s="616"/>
      <c r="G6" s="309"/>
      <c r="H6" s="309"/>
      <c r="I6" s="309"/>
      <c r="J6" s="614"/>
      <c r="K6" s="617"/>
      <c r="L6" s="617"/>
      <c r="M6" s="617"/>
      <c r="N6" s="618"/>
      <c r="O6" s="614"/>
      <c r="P6" s="309"/>
      <c r="Q6" s="309"/>
      <c r="R6" s="309"/>
      <c r="S6" s="309"/>
      <c r="U6" s="309"/>
      <c r="V6" s="309"/>
      <c r="W6" s="309"/>
      <c r="X6" s="309"/>
      <c r="Y6" s="309"/>
      <c r="Z6" s="614"/>
      <c r="AA6" s="615"/>
      <c r="AB6" s="582"/>
      <c r="AC6" s="309"/>
      <c r="AD6" s="309"/>
      <c r="AE6" s="629" t="s">
        <v>411</v>
      </c>
      <c r="AF6" s="630">
        <v>21426.9</v>
      </c>
      <c r="AG6" s="638">
        <v>9.1</v>
      </c>
    </row>
    <row r="7" spans="1:33" ht="24.95" customHeight="1">
      <c r="A7" s="614"/>
      <c r="B7" s="617"/>
      <c r="C7" s="617"/>
      <c r="D7" s="617"/>
      <c r="E7" s="618"/>
      <c r="F7" s="619"/>
      <c r="G7" s="309"/>
      <c r="H7" s="309"/>
      <c r="I7" s="309"/>
      <c r="J7" s="620"/>
      <c r="K7" s="617"/>
      <c r="L7" s="617"/>
      <c r="M7" s="617"/>
      <c r="N7" s="617"/>
      <c r="O7" s="622"/>
      <c r="P7" s="309"/>
      <c r="Q7" s="309"/>
      <c r="R7" s="309"/>
      <c r="S7" s="309"/>
      <c r="U7" s="625"/>
      <c r="V7" s="309"/>
      <c r="W7" s="309"/>
      <c r="X7" s="309"/>
      <c r="Y7" s="309"/>
      <c r="Z7" s="614"/>
      <c r="AA7" s="617"/>
      <c r="AB7" s="617"/>
      <c r="AC7" s="617"/>
      <c r="AD7" s="618"/>
      <c r="AE7" s="631" t="s">
        <v>412</v>
      </c>
      <c r="AF7" s="632">
        <v>12304.837568389001</v>
      </c>
      <c r="AG7" s="639">
        <v>8.3210979203177402</v>
      </c>
    </row>
    <row r="8" spans="1:33" ht="24.95" customHeight="1">
      <c r="A8" s="620"/>
      <c r="B8" s="617"/>
      <c r="C8" s="617"/>
      <c r="D8" s="617"/>
      <c r="E8" s="617"/>
      <c r="F8" s="619"/>
      <c r="G8" s="309"/>
      <c r="H8" s="309"/>
      <c r="I8" s="309"/>
      <c r="J8" s="620"/>
      <c r="K8" s="617"/>
      <c r="L8" s="617"/>
      <c r="M8" s="617"/>
      <c r="N8" s="618"/>
      <c r="O8" s="620"/>
      <c r="P8" s="309"/>
      <c r="Q8" s="309"/>
      <c r="R8" s="309"/>
      <c r="S8" s="309"/>
      <c r="U8" s="625"/>
      <c r="V8" s="309"/>
      <c r="W8" s="309"/>
      <c r="X8" s="309"/>
      <c r="Y8" s="309"/>
      <c r="Z8" s="620"/>
      <c r="AA8" s="617"/>
      <c r="AB8" s="617"/>
      <c r="AC8" s="617"/>
      <c r="AD8" s="617"/>
      <c r="AE8" s="631" t="s">
        <v>413</v>
      </c>
      <c r="AF8" s="632">
        <v>4605.7896637545</v>
      </c>
      <c r="AG8" s="638">
        <v>4.2766240234667103</v>
      </c>
    </row>
    <row r="9" spans="1:33" ht="24.95" customHeight="1">
      <c r="A9" s="620"/>
      <c r="B9" s="617"/>
      <c r="C9" s="617"/>
      <c r="D9" s="617"/>
      <c r="E9" s="617"/>
      <c r="F9" s="619"/>
      <c r="G9" s="309"/>
      <c r="H9" s="309"/>
      <c r="I9" s="309"/>
      <c r="J9" s="620"/>
      <c r="K9" s="617"/>
      <c r="L9" s="617"/>
      <c r="M9" s="617"/>
      <c r="N9" s="617"/>
      <c r="O9" s="623"/>
      <c r="P9" s="309"/>
      <c r="Q9" s="309"/>
      <c r="R9" s="309"/>
      <c r="S9" s="309"/>
      <c r="U9" s="625"/>
      <c r="V9" s="309"/>
      <c r="W9" s="309"/>
      <c r="X9" s="309"/>
      <c r="Y9" s="309"/>
      <c r="Z9" s="620"/>
      <c r="AA9" s="617"/>
      <c r="AB9" s="617"/>
      <c r="AC9" s="617"/>
      <c r="AD9" s="617"/>
      <c r="AE9" s="631" t="s">
        <v>414</v>
      </c>
      <c r="AF9" s="632">
        <v>976.34956980200002</v>
      </c>
      <c r="AG9" s="638">
        <v>16.850169897871599</v>
      </c>
    </row>
    <row r="10" spans="1:33" ht="24.95" customHeight="1">
      <c r="A10" s="620"/>
      <c r="B10" s="617"/>
      <c r="C10" s="617"/>
      <c r="D10" s="617"/>
      <c r="E10" s="617"/>
      <c r="F10" s="619"/>
      <c r="G10" s="309"/>
      <c r="H10" s="309"/>
      <c r="I10" s="309"/>
      <c r="J10" s="620"/>
      <c r="K10" s="617"/>
      <c r="L10" s="617"/>
      <c r="M10" s="617"/>
      <c r="N10" s="617"/>
      <c r="O10" s="622"/>
      <c r="P10" s="309"/>
      <c r="Q10" s="309"/>
      <c r="R10" s="309"/>
      <c r="S10" s="309"/>
      <c r="U10" s="625"/>
      <c r="V10" s="309"/>
      <c r="W10" s="309"/>
      <c r="X10" s="309"/>
      <c r="Y10" s="309"/>
      <c r="Z10" s="620"/>
      <c r="AA10" s="617"/>
      <c r="AB10" s="617"/>
      <c r="AC10" s="617"/>
      <c r="AD10" s="617"/>
      <c r="AE10" s="631" t="s">
        <v>415</v>
      </c>
      <c r="AF10" s="632">
        <v>3539.9235140444998</v>
      </c>
      <c r="AG10" s="639">
        <v>17.2325373269198</v>
      </c>
    </row>
    <row r="11" spans="1:33" ht="24.95" customHeight="1">
      <c r="A11" s="620"/>
      <c r="B11" s="617"/>
      <c r="C11" s="617"/>
      <c r="D11" s="617"/>
      <c r="E11" s="617"/>
      <c r="F11" s="619"/>
      <c r="G11" s="309"/>
      <c r="H11" s="309"/>
      <c r="I11" s="309"/>
      <c r="J11" s="620"/>
      <c r="K11" s="617"/>
      <c r="L11" s="617"/>
      <c r="M11" s="617"/>
      <c r="N11" s="617"/>
      <c r="O11" s="620"/>
      <c r="P11" s="309"/>
      <c r="Q11" s="309"/>
      <c r="R11" s="309"/>
      <c r="S11" s="309"/>
      <c r="U11" s="625"/>
      <c r="V11" s="309"/>
      <c r="W11" s="309"/>
      <c r="X11" s="309"/>
      <c r="Y11" s="309"/>
      <c r="Z11" s="620"/>
      <c r="AA11" s="617"/>
      <c r="AB11" s="617"/>
      <c r="AC11" s="617"/>
      <c r="AD11" s="617"/>
      <c r="AE11" s="631" t="s">
        <v>416</v>
      </c>
      <c r="AF11" s="632">
        <v>29046.3</v>
      </c>
      <c r="AG11" s="639">
        <v>7.1</v>
      </c>
    </row>
    <row r="12" spans="1:33" ht="24.95" customHeight="1">
      <c r="A12" s="620"/>
      <c r="B12" s="617"/>
      <c r="C12" s="617"/>
      <c r="D12" s="617"/>
      <c r="E12" s="617"/>
      <c r="F12" s="619"/>
      <c r="G12" s="309"/>
      <c r="H12" s="309"/>
      <c r="I12" s="309"/>
      <c r="J12" s="620"/>
      <c r="K12" s="617"/>
      <c r="L12" s="617"/>
      <c r="M12" s="617"/>
      <c r="N12" s="617"/>
      <c r="O12" s="620"/>
      <c r="P12" s="309"/>
      <c r="Q12" s="309"/>
      <c r="R12" s="309"/>
      <c r="S12" s="309"/>
      <c r="U12" s="625"/>
      <c r="V12" s="309"/>
      <c r="W12" s="309"/>
      <c r="X12" s="309"/>
      <c r="Y12" s="309"/>
      <c r="Z12" s="620"/>
      <c r="AA12" s="617"/>
      <c r="AB12" s="617"/>
      <c r="AC12" s="617"/>
      <c r="AD12" s="617"/>
      <c r="AE12" s="631" t="s">
        <v>417</v>
      </c>
      <c r="AF12" s="632">
        <v>15888.9</v>
      </c>
      <c r="AG12" s="639">
        <v>9.6999999999999993</v>
      </c>
    </row>
    <row r="13" spans="1:33" ht="24.95" customHeight="1">
      <c r="A13" s="620"/>
      <c r="B13" s="617"/>
      <c r="C13" s="617"/>
      <c r="D13" s="617"/>
      <c r="E13" s="617"/>
      <c r="F13" s="619"/>
      <c r="G13" s="309"/>
      <c r="H13" s="309"/>
      <c r="I13" s="309"/>
      <c r="J13" s="620"/>
      <c r="K13" s="617"/>
      <c r="L13" s="617"/>
      <c r="M13" s="617"/>
      <c r="N13" s="617"/>
      <c r="O13" s="620"/>
      <c r="P13" s="309"/>
      <c r="Q13" s="309"/>
      <c r="R13" s="309"/>
      <c r="S13" s="309"/>
      <c r="U13" s="625"/>
      <c r="V13" s="309"/>
      <c r="W13" s="309"/>
      <c r="X13" s="309"/>
      <c r="Y13" s="309"/>
      <c r="Z13" s="620"/>
      <c r="AA13" s="617"/>
      <c r="AB13" s="617"/>
      <c r="AC13" s="617"/>
      <c r="AD13" s="617"/>
      <c r="AE13" s="633" t="s">
        <v>418</v>
      </c>
      <c r="AF13" s="632">
        <v>15302.5639416585</v>
      </c>
      <c r="AG13" s="639">
        <v>5.4339535243629804</v>
      </c>
    </row>
    <row r="14" spans="1:33" ht="24.95" customHeight="1">
      <c r="A14" s="620"/>
      <c r="B14" s="617"/>
      <c r="C14" s="617"/>
      <c r="D14" s="617"/>
      <c r="E14" s="617"/>
      <c r="F14" s="619"/>
      <c r="G14" s="309"/>
      <c r="H14" s="309"/>
      <c r="I14" s="309"/>
      <c r="J14" s="620"/>
      <c r="K14" s="617"/>
      <c r="L14" s="617"/>
      <c r="M14" s="617"/>
      <c r="N14" s="617"/>
      <c r="O14" s="622"/>
      <c r="P14" s="309"/>
      <c r="Q14" s="309"/>
      <c r="R14" s="309"/>
      <c r="S14" s="309"/>
      <c r="U14" s="625"/>
      <c r="V14" s="309"/>
      <c r="W14" s="309"/>
      <c r="X14" s="309"/>
      <c r="Y14" s="309"/>
      <c r="Z14" s="620"/>
      <c r="AA14" s="617"/>
      <c r="AB14" s="617"/>
      <c r="AC14" s="617"/>
      <c r="AD14" s="617"/>
      <c r="AE14" s="634" t="s">
        <v>419</v>
      </c>
      <c r="AF14" s="632">
        <v>6472.7838962129999</v>
      </c>
      <c r="AG14" s="639">
        <v>4.7640163509453703</v>
      </c>
    </row>
    <row r="15" spans="1:33" ht="24.95" customHeight="1">
      <c r="A15" s="620"/>
      <c r="B15" s="617"/>
      <c r="C15" s="617"/>
      <c r="D15" s="617"/>
      <c r="E15" s="617"/>
      <c r="F15" s="619"/>
      <c r="G15" s="309"/>
      <c r="H15" s="309"/>
      <c r="I15" s="309"/>
      <c r="J15" s="620"/>
      <c r="K15" s="617"/>
      <c r="L15" s="617"/>
      <c r="M15" s="617"/>
      <c r="N15" s="617"/>
      <c r="O15" s="614"/>
      <c r="P15" s="309"/>
      <c r="Q15" s="309"/>
      <c r="R15" s="309"/>
      <c r="S15" s="309"/>
      <c r="U15" s="626"/>
      <c r="V15" s="309"/>
      <c r="W15" s="309"/>
      <c r="X15" s="309"/>
      <c r="Y15" s="309"/>
      <c r="Z15" s="620"/>
      <c r="AA15" s="617"/>
      <c r="AB15" s="617"/>
      <c r="AC15" s="617"/>
      <c r="AD15" s="617"/>
      <c r="AE15" s="634" t="s">
        <v>420</v>
      </c>
      <c r="AF15" s="632">
        <v>497.84617900199999</v>
      </c>
      <c r="AG15" s="638">
        <v>-0.61065569325953195</v>
      </c>
    </row>
    <row r="16" spans="1:33" ht="24.95" customHeight="1">
      <c r="A16" s="614"/>
      <c r="B16" s="617"/>
      <c r="C16" s="617"/>
      <c r="D16" s="617"/>
      <c r="E16" s="618"/>
      <c r="F16" s="619"/>
      <c r="G16" s="309"/>
      <c r="H16" s="309"/>
      <c r="I16" s="309"/>
      <c r="J16" s="620"/>
      <c r="K16" s="617"/>
      <c r="L16" s="617"/>
      <c r="M16" s="617"/>
      <c r="N16" s="617"/>
      <c r="O16" s="614"/>
      <c r="P16" s="309"/>
      <c r="Q16" s="309"/>
      <c r="R16" s="309"/>
      <c r="S16" s="309"/>
      <c r="U16" s="309"/>
      <c r="V16" s="309"/>
      <c r="W16" s="309"/>
      <c r="X16" s="309"/>
      <c r="Y16" s="309"/>
      <c r="Z16" s="620"/>
      <c r="AA16" s="617"/>
      <c r="AB16" s="617"/>
      <c r="AC16" s="617"/>
      <c r="AD16" s="617"/>
      <c r="AE16" s="634" t="s">
        <v>421</v>
      </c>
      <c r="AF16" s="632">
        <v>2835.2760417320001</v>
      </c>
      <c r="AG16" s="639">
        <v>6.9226413155058601</v>
      </c>
    </row>
    <row r="17" spans="1:33" ht="24.95" customHeight="1">
      <c r="A17" s="614"/>
      <c r="B17" s="617"/>
      <c r="C17" s="617"/>
      <c r="D17" s="617"/>
      <c r="E17" s="618"/>
      <c r="F17" s="619"/>
      <c r="G17" s="309"/>
      <c r="H17" s="309"/>
      <c r="I17" s="309"/>
      <c r="J17" s="620"/>
      <c r="K17" s="617"/>
      <c r="L17" s="617"/>
      <c r="M17" s="617"/>
      <c r="N17" s="617"/>
      <c r="O17" s="614"/>
      <c r="P17" s="309"/>
      <c r="Q17" s="309"/>
      <c r="R17" s="309"/>
      <c r="S17" s="309"/>
      <c r="U17" s="309"/>
      <c r="V17" s="309"/>
      <c r="W17" s="309"/>
      <c r="X17" s="309"/>
      <c r="Y17" s="309"/>
      <c r="Z17" s="620"/>
      <c r="AA17" s="617"/>
      <c r="AB17" s="617"/>
      <c r="AC17" s="617"/>
      <c r="AD17" s="617"/>
      <c r="AE17" s="634" t="s">
        <v>422</v>
      </c>
      <c r="AF17" s="632">
        <v>802.86920899799998</v>
      </c>
      <c r="AG17" s="639">
        <v>5.3801050104246704</v>
      </c>
    </row>
    <row r="18" spans="1:33" ht="24.95" customHeight="1">
      <c r="A18" s="614"/>
      <c r="B18" s="617"/>
      <c r="C18" s="617"/>
      <c r="D18" s="617"/>
      <c r="E18" s="618"/>
      <c r="F18" s="619"/>
      <c r="G18" s="309"/>
      <c r="H18" s="309"/>
      <c r="I18" s="309"/>
      <c r="J18" s="620"/>
      <c r="K18" s="617"/>
      <c r="L18" s="617"/>
      <c r="M18" s="617"/>
      <c r="N18" s="617"/>
      <c r="O18" s="614"/>
      <c r="P18" s="309"/>
      <c r="Q18" s="309"/>
      <c r="R18" s="309"/>
      <c r="S18" s="309"/>
      <c r="U18" s="309"/>
      <c r="V18" s="309"/>
      <c r="W18" s="309"/>
      <c r="X18" s="309"/>
      <c r="Y18" s="309"/>
      <c r="Z18" s="620"/>
      <c r="AA18" s="617"/>
      <c r="AB18" s="617"/>
      <c r="AC18" s="617"/>
      <c r="AD18" s="617"/>
      <c r="AE18" s="634" t="s">
        <v>423</v>
      </c>
      <c r="AF18" s="632">
        <v>1748.0118219344999</v>
      </c>
      <c r="AG18" s="639">
        <v>0.72735609164069603</v>
      </c>
    </row>
    <row r="19" spans="1:33" ht="24.95" customHeight="1">
      <c r="A19" s="614"/>
      <c r="B19" s="617"/>
      <c r="C19" s="617"/>
      <c r="D19" s="617"/>
      <c r="E19" s="618"/>
      <c r="F19" s="619"/>
      <c r="G19" s="309"/>
      <c r="H19" s="309"/>
      <c r="I19" s="309"/>
      <c r="J19" s="620"/>
      <c r="K19" s="617"/>
      <c r="L19" s="617"/>
      <c r="M19" s="617"/>
      <c r="N19" s="617"/>
      <c r="O19" s="614"/>
      <c r="P19" s="309"/>
      <c r="Q19" s="309"/>
      <c r="R19" s="309"/>
      <c r="S19" s="309"/>
      <c r="U19" s="309"/>
      <c r="V19" s="309"/>
      <c r="W19" s="309"/>
      <c r="X19" s="309"/>
      <c r="Y19" s="309"/>
      <c r="Z19" s="620"/>
      <c r="AA19" s="617"/>
      <c r="AB19" s="617"/>
      <c r="AC19" s="617"/>
      <c r="AD19" s="617"/>
      <c r="AE19" s="634" t="s">
        <v>424</v>
      </c>
      <c r="AF19" s="632">
        <v>1584.881086736</v>
      </c>
      <c r="AG19" s="639">
        <v>8.2052097671261794</v>
      </c>
    </row>
    <row r="20" spans="1:33" ht="24.95" customHeight="1">
      <c r="A20" s="614"/>
      <c r="B20" s="617"/>
      <c r="C20" s="617"/>
      <c r="D20" s="617"/>
      <c r="E20" s="618"/>
      <c r="F20" s="619"/>
      <c r="G20" s="309"/>
      <c r="H20" s="309"/>
      <c r="I20" s="309"/>
      <c r="J20" s="620"/>
      <c r="K20" s="617"/>
      <c r="L20" s="617"/>
      <c r="M20" s="617"/>
      <c r="N20" s="617"/>
      <c r="O20" s="614"/>
      <c r="P20" s="309"/>
      <c r="Q20" s="309"/>
      <c r="R20" s="309"/>
      <c r="S20" s="309"/>
      <c r="U20" s="309"/>
      <c r="V20" s="309"/>
      <c r="W20" s="309"/>
      <c r="X20" s="309"/>
      <c r="Y20" s="309"/>
      <c r="Z20" s="620"/>
      <c r="AA20" s="617"/>
      <c r="AB20" s="617"/>
      <c r="AC20" s="617"/>
      <c r="AD20" s="617"/>
      <c r="AE20" s="634" t="s">
        <v>425</v>
      </c>
      <c r="AF20" s="632">
        <v>1040.3989496859999</v>
      </c>
      <c r="AG20" s="639">
        <v>10.827391425924199</v>
      </c>
    </row>
    <row r="21" spans="1:33" ht="24.95" customHeight="1">
      <c r="A21" s="614"/>
      <c r="B21" s="617"/>
      <c r="C21" s="617"/>
      <c r="D21" s="617"/>
      <c r="E21" s="618"/>
      <c r="F21" s="619"/>
      <c r="G21" s="309"/>
      <c r="H21" s="309"/>
      <c r="I21" s="309"/>
      <c r="J21" s="620"/>
      <c r="K21" s="617"/>
      <c r="L21" s="617"/>
      <c r="M21" s="617"/>
      <c r="N21" s="617"/>
      <c r="O21" s="614"/>
      <c r="P21" s="309"/>
      <c r="Q21" s="309"/>
      <c r="R21" s="309"/>
      <c r="S21" s="309"/>
      <c r="U21" s="309"/>
      <c r="V21" s="309"/>
      <c r="W21" s="309"/>
      <c r="X21" s="309"/>
      <c r="Y21" s="309"/>
      <c r="Z21" s="620"/>
      <c r="AA21" s="617"/>
      <c r="AB21" s="617"/>
      <c r="AC21" s="617"/>
      <c r="AD21" s="617"/>
      <c r="AE21" s="634" t="s">
        <v>426</v>
      </c>
      <c r="AF21" s="632">
        <v>320.49675735699998</v>
      </c>
      <c r="AG21" s="639">
        <v>13.6083268021696</v>
      </c>
    </row>
    <row r="22" spans="1:33" ht="24.95" customHeight="1">
      <c r="A22" s="614"/>
      <c r="B22" s="617"/>
      <c r="C22" s="617"/>
      <c r="D22" s="617"/>
      <c r="E22" s="618"/>
      <c r="F22" s="619"/>
      <c r="G22" s="309"/>
      <c r="H22" s="309"/>
      <c r="I22" s="309"/>
      <c r="J22" s="620"/>
      <c r="K22" s="617"/>
      <c r="L22" s="617"/>
      <c r="M22" s="617"/>
      <c r="N22" s="617"/>
      <c r="O22" s="614"/>
      <c r="P22" s="309"/>
      <c r="Q22" s="309"/>
      <c r="R22" s="309"/>
      <c r="S22" s="309"/>
      <c r="U22" s="309"/>
      <c r="V22" s="309"/>
      <c r="W22" s="309"/>
      <c r="X22" s="309"/>
      <c r="Y22" s="309"/>
      <c r="Z22" s="620"/>
      <c r="AA22" s="617"/>
      <c r="AB22" s="617"/>
      <c r="AC22" s="617"/>
      <c r="AD22" s="617"/>
      <c r="AE22" s="631" t="s">
        <v>427</v>
      </c>
      <c r="AF22" s="632">
        <v>20214</v>
      </c>
      <c r="AG22" s="639">
        <v>0.99908147496072797</v>
      </c>
    </row>
    <row r="23" spans="1:33" ht="24.95" customHeight="1">
      <c r="A23" s="614"/>
      <c r="B23" s="617"/>
      <c r="C23" s="617"/>
      <c r="D23" s="617"/>
      <c r="E23" s="618"/>
      <c r="F23" s="619"/>
      <c r="G23" s="309"/>
      <c r="H23" s="309"/>
      <c r="I23" s="309"/>
      <c r="J23" s="620"/>
      <c r="K23" s="617"/>
      <c r="L23" s="617"/>
      <c r="M23" s="617"/>
      <c r="N23" s="617"/>
      <c r="O23" s="614"/>
      <c r="P23" s="309"/>
      <c r="Q23" s="309"/>
      <c r="R23" s="309"/>
      <c r="S23" s="309"/>
      <c r="U23" s="309"/>
      <c r="V23" s="309"/>
      <c r="W23" s="309"/>
      <c r="X23" s="309"/>
      <c r="Y23" s="309"/>
      <c r="Z23" s="620"/>
      <c r="AA23" s="617"/>
      <c r="AB23" s="617"/>
      <c r="AC23" s="617"/>
      <c r="AD23" s="617"/>
      <c r="AE23" s="635" t="s">
        <v>428</v>
      </c>
      <c r="AF23" s="636">
        <v>11732.79</v>
      </c>
      <c r="AG23" s="640">
        <v>9.3187289171242398</v>
      </c>
    </row>
    <row r="24" spans="1:33" ht="20.25" customHeight="1">
      <c r="AE24" s="1102" t="s">
        <v>429</v>
      </c>
      <c r="AF24" s="1102"/>
      <c r="AG24" s="1102"/>
    </row>
  </sheetData>
  <sheetProtection password="DC9E" sheet="1" objects="1" scenarios="1"/>
  <mergeCells count="14">
    <mergeCell ref="AE24:AG24"/>
    <mergeCell ref="Z1:AC1"/>
    <mergeCell ref="AD1:AG1"/>
    <mergeCell ref="B2:C2"/>
    <mergeCell ref="D2:E2"/>
    <mergeCell ref="K2:L2"/>
    <mergeCell ref="M2:N2"/>
    <mergeCell ref="AA2:AB2"/>
    <mergeCell ref="AC2:AD2"/>
    <mergeCell ref="A1:D1"/>
    <mergeCell ref="E1:H1"/>
    <mergeCell ref="J1:M1"/>
    <mergeCell ref="N1:R1"/>
    <mergeCell ref="U1:Y1"/>
  </mergeCells>
  <phoneticPr fontId="11" type="noConversion"/>
  <printOptions horizontalCentered="1"/>
  <pageMargins left="0.75" right="0.75" top="0.97916666666666696" bottom="0.97916666666666696" header="0.50902777777777797" footer="0.50902777777777797"/>
  <pageSetup paperSize="9" orientation="portrait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5"/>
  </sheetPr>
  <dimension ref="A1:D23"/>
  <sheetViews>
    <sheetView zoomScale="90" zoomScaleNormal="90" workbookViewId="0">
      <selection activeCell="H6" sqref="H6"/>
    </sheetView>
  </sheetViews>
  <sheetFormatPr defaultColWidth="9" defaultRowHeight="14.25"/>
  <cols>
    <col min="1" max="1" width="35.5" style="42" customWidth="1"/>
    <col min="2" max="3" width="16.125" style="42" customWidth="1"/>
    <col min="4" max="16384" width="9" style="42"/>
  </cols>
  <sheetData>
    <row r="1" spans="1:4" ht="25.5" customHeight="1">
      <c r="A1" s="1110" t="s">
        <v>430</v>
      </c>
      <c r="B1" s="1110"/>
      <c r="C1" s="1110"/>
    </row>
    <row r="2" spans="1:4" ht="21.75" customHeight="1">
      <c r="A2" s="595"/>
      <c r="B2" s="595"/>
      <c r="C2" s="596" t="s">
        <v>431</v>
      </c>
    </row>
    <row r="3" spans="1:4" ht="23.1" customHeight="1">
      <c r="A3" s="597" t="s">
        <v>38</v>
      </c>
      <c r="B3" s="598" t="s">
        <v>432</v>
      </c>
      <c r="C3" s="599" t="s">
        <v>433</v>
      </c>
    </row>
    <row r="4" spans="1:4" ht="23.1" customHeight="1">
      <c r="A4" s="600" t="s">
        <v>434</v>
      </c>
      <c r="B4" s="601">
        <v>101.3</v>
      </c>
      <c r="C4" s="602">
        <v>101.64011001</v>
      </c>
    </row>
    <row r="5" spans="1:4" s="594" customFormat="1" ht="23.1" customHeight="1">
      <c r="A5" s="603" t="s">
        <v>435</v>
      </c>
      <c r="B5" s="601">
        <v>100.7</v>
      </c>
      <c r="C5" s="602">
        <v>101.23254421999999</v>
      </c>
      <c r="D5" s="604"/>
    </row>
    <row r="6" spans="1:4" s="594" customFormat="1" ht="23.1" customHeight="1">
      <c r="A6" s="605" t="s">
        <v>436</v>
      </c>
      <c r="B6" s="601">
        <v>97.3</v>
      </c>
      <c r="C6" s="602">
        <v>97.976593780000002</v>
      </c>
      <c r="D6" s="604"/>
    </row>
    <row r="7" spans="1:4" s="594" customFormat="1" ht="23.1" customHeight="1">
      <c r="A7" s="605" t="s">
        <v>437</v>
      </c>
      <c r="B7" s="601">
        <v>101.3</v>
      </c>
      <c r="C7" s="602">
        <v>103.64038969000001</v>
      </c>
      <c r="D7" s="604"/>
    </row>
    <row r="8" spans="1:4" s="594" customFormat="1" ht="23.1" customHeight="1">
      <c r="A8" s="605" t="s">
        <v>438</v>
      </c>
      <c r="B8" s="601">
        <v>94.8</v>
      </c>
      <c r="C8" s="602">
        <v>95.441641720000007</v>
      </c>
      <c r="D8" s="606"/>
    </row>
    <row r="9" spans="1:4" s="594" customFormat="1" ht="23.1" customHeight="1">
      <c r="A9" s="605" t="s">
        <v>439</v>
      </c>
      <c r="B9" s="601">
        <v>96.5</v>
      </c>
      <c r="C9" s="602">
        <v>99.545330359999994</v>
      </c>
    </row>
    <row r="10" spans="1:4" s="594" customFormat="1" ht="23.1" customHeight="1">
      <c r="A10" s="605" t="s">
        <v>440</v>
      </c>
      <c r="B10" s="601">
        <v>104.3</v>
      </c>
      <c r="C10" s="602">
        <v>104.39162139</v>
      </c>
    </row>
    <row r="11" spans="1:4" s="594" customFormat="1" ht="23.1" customHeight="1">
      <c r="A11" s="605" t="s">
        <v>441</v>
      </c>
      <c r="B11" s="601">
        <v>104.9</v>
      </c>
      <c r="C11" s="602">
        <v>104.51031646</v>
      </c>
    </row>
    <row r="12" spans="1:4" s="594" customFormat="1" ht="23.1" customHeight="1">
      <c r="A12" s="605" t="s">
        <v>442</v>
      </c>
      <c r="B12" s="601">
        <v>104.9</v>
      </c>
      <c r="C12" s="602">
        <v>105.37623130999999</v>
      </c>
    </row>
    <row r="13" spans="1:4" s="594" customFormat="1" ht="23.1" customHeight="1">
      <c r="A13" s="605" t="s">
        <v>443</v>
      </c>
      <c r="B13" s="601">
        <v>103.8</v>
      </c>
      <c r="C13" s="602">
        <v>103.70797768</v>
      </c>
    </row>
    <row r="14" spans="1:4" s="594" customFormat="1" ht="23.1" customHeight="1">
      <c r="A14" s="605" t="s">
        <v>444</v>
      </c>
      <c r="B14" s="601">
        <v>99.7</v>
      </c>
      <c r="C14" s="602">
        <v>100.62141283</v>
      </c>
    </row>
    <row r="15" spans="1:4" s="594" customFormat="1" ht="23.1" customHeight="1">
      <c r="A15" s="605" t="s">
        <v>445</v>
      </c>
      <c r="B15" s="601">
        <v>98.2</v>
      </c>
      <c r="C15" s="602">
        <v>98.338636129999998</v>
      </c>
    </row>
    <row r="16" spans="1:4" s="594" customFormat="1" ht="23.1" customHeight="1">
      <c r="A16" s="605" t="s">
        <v>446</v>
      </c>
      <c r="B16" s="601">
        <v>100.8</v>
      </c>
      <c r="C16" s="602">
        <v>101.27897167</v>
      </c>
    </row>
    <row r="17" spans="1:3" s="594" customFormat="1" ht="23.1" customHeight="1">
      <c r="A17" s="605" t="s">
        <v>447</v>
      </c>
      <c r="B17" s="601">
        <v>103.5</v>
      </c>
      <c r="C17" s="602">
        <v>103.85496292000001</v>
      </c>
    </row>
    <row r="18" spans="1:3" s="594" customFormat="1" ht="23.1" customHeight="1">
      <c r="A18" s="605" t="s">
        <v>448</v>
      </c>
      <c r="B18" s="601">
        <v>102.9</v>
      </c>
      <c r="C18" s="602">
        <v>102.06874969</v>
      </c>
    </row>
    <row r="19" spans="1:3" s="594" customFormat="1" ht="23.1" customHeight="1">
      <c r="A19" s="605" t="s">
        <v>449</v>
      </c>
      <c r="B19" s="601">
        <v>100.3</v>
      </c>
      <c r="C19" s="602">
        <v>100.75654848000001</v>
      </c>
    </row>
    <row r="20" spans="1:3" s="594" customFormat="1" ht="23.1" customHeight="1">
      <c r="A20" s="605" t="s">
        <v>450</v>
      </c>
      <c r="B20" s="601">
        <v>103</v>
      </c>
      <c r="C20" s="602">
        <v>103.30545821</v>
      </c>
    </row>
    <row r="21" spans="1:3" s="594" customFormat="1" ht="23.1" customHeight="1">
      <c r="A21" s="607" t="s">
        <v>451</v>
      </c>
      <c r="B21" s="601">
        <v>99.6</v>
      </c>
      <c r="C21" s="602">
        <v>99.834213629999994</v>
      </c>
    </row>
    <row r="22" spans="1:3" ht="28.5" customHeight="1">
      <c r="A22" s="1111" t="s">
        <v>452</v>
      </c>
      <c r="B22" s="1111"/>
      <c r="C22" s="1111"/>
    </row>
    <row r="23" spans="1:3" ht="7.5" customHeight="1"/>
  </sheetData>
  <sheetProtection password="DC9E" sheet="1" objects="1" scenarios="1"/>
  <mergeCells count="2">
    <mergeCell ref="A1:C1"/>
    <mergeCell ref="A22:C22"/>
  </mergeCells>
  <phoneticPr fontId="11" type="noConversion"/>
  <printOptions horizontalCentered="1"/>
  <pageMargins left="0.55000000000000004" right="0.55000000000000004" top="0.97916666666666696" bottom="0.97916666666666696" header="0.50902777777777797" footer="0.50902777777777797"/>
  <pageSetup paperSize="9" orientation="portrait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C00000"/>
  </sheetPr>
  <dimension ref="A1:E28"/>
  <sheetViews>
    <sheetView workbookViewId="0">
      <selection activeCell="H8" sqref="H8"/>
    </sheetView>
  </sheetViews>
  <sheetFormatPr defaultColWidth="9" defaultRowHeight="14.25"/>
  <cols>
    <col min="1" max="1" width="33.375" style="252" customWidth="1"/>
    <col min="2" max="2" width="13.125" style="253" customWidth="1"/>
    <col min="3" max="3" width="13.125" style="579" customWidth="1"/>
    <col min="4" max="4" width="13.125" style="253" customWidth="1"/>
    <col min="5" max="16384" width="9" style="253"/>
  </cols>
  <sheetData>
    <row r="1" spans="1:5" ht="33.75" customHeight="1">
      <c r="A1" s="1112" t="s">
        <v>453</v>
      </c>
      <c r="B1" s="1112"/>
      <c r="C1" s="1112"/>
      <c r="D1" s="1113"/>
    </row>
    <row r="2" spans="1:5" ht="20.25" customHeight="1">
      <c r="A2" s="580"/>
      <c r="B2" s="580"/>
      <c r="C2" s="581"/>
      <c r="D2" s="582" t="s">
        <v>454</v>
      </c>
    </row>
    <row r="3" spans="1:5" ht="31.5" customHeight="1">
      <c r="A3" s="544" t="s">
        <v>455</v>
      </c>
      <c r="B3" s="545" t="s">
        <v>34</v>
      </c>
      <c r="C3" s="583" t="s">
        <v>5</v>
      </c>
      <c r="D3" s="584" t="s">
        <v>456</v>
      </c>
    </row>
    <row r="4" spans="1:5" ht="18" customHeight="1">
      <c r="A4" s="585" t="s">
        <v>457</v>
      </c>
      <c r="B4" s="586"/>
      <c r="C4" s="587"/>
      <c r="D4" s="551"/>
    </row>
    <row r="5" spans="1:5" ht="18" customHeight="1">
      <c r="A5" s="588" t="s">
        <v>458</v>
      </c>
      <c r="B5" s="589">
        <v>3008.3928000000001</v>
      </c>
      <c r="C5" s="568">
        <v>6</v>
      </c>
      <c r="D5" s="572" t="s">
        <v>459</v>
      </c>
    </row>
    <row r="6" spans="1:5" ht="18" customHeight="1">
      <c r="A6" s="588" t="s">
        <v>460</v>
      </c>
      <c r="B6" s="589">
        <v>343.22649999999999</v>
      </c>
      <c r="C6" s="568">
        <v>8</v>
      </c>
      <c r="D6" s="572">
        <v>3</v>
      </c>
    </row>
    <row r="7" spans="1:5" ht="18" customHeight="1">
      <c r="A7" s="590" t="s">
        <v>461</v>
      </c>
      <c r="B7" s="589">
        <v>468.26170000000002</v>
      </c>
      <c r="C7" s="568">
        <v>6</v>
      </c>
      <c r="D7" s="572">
        <v>8</v>
      </c>
    </row>
    <row r="8" spans="1:5" ht="18" customHeight="1">
      <c r="A8" s="591" t="s">
        <v>462</v>
      </c>
      <c r="B8" s="589">
        <v>307.97840000000002</v>
      </c>
      <c r="C8" s="568">
        <v>5.9</v>
      </c>
      <c r="D8" s="572">
        <v>9</v>
      </c>
    </row>
    <row r="9" spans="1:5" ht="18" customHeight="1">
      <c r="A9" s="590" t="s">
        <v>463</v>
      </c>
      <c r="B9" s="589">
        <v>166.5684</v>
      </c>
      <c r="C9" s="568">
        <v>7.5</v>
      </c>
      <c r="D9" s="572">
        <v>4</v>
      </c>
    </row>
    <row r="10" spans="1:5" ht="18" customHeight="1">
      <c r="A10" s="590" t="s">
        <v>464</v>
      </c>
      <c r="B10" s="589">
        <v>402.03829999999999</v>
      </c>
      <c r="C10" s="568">
        <v>9.5</v>
      </c>
      <c r="D10" s="572">
        <v>1</v>
      </c>
    </row>
    <row r="11" spans="1:5" ht="18" customHeight="1">
      <c r="A11" s="590" t="s">
        <v>465</v>
      </c>
      <c r="B11" s="589">
        <v>282.00220000000002</v>
      </c>
      <c r="C11" s="568">
        <v>7</v>
      </c>
      <c r="D11" s="572">
        <v>6</v>
      </c>
    </row>
    <row r="12" spans="1:5" ht="18" customHeight="1">
      <c r="A12" s="590" t="s">
        <v>466</v>
      </c>
      <c r="B12" s="589">
        <v>190.5968</v>
      </c>
      <c r="C12" s="568">
        <v>8.1999999999999993</v>
      </c>
      <c r="D12" s="572">
        <v>2</v>
      </c>
    </row>
    <row r="13" spans="1:5" ht="18" customHeight="1">
      <c r="A13" s="590" t="s">
        <v>467</v>
      </c>
      <c r="B13" s="589">
        <v>309.67239999999998</v>
      </c>
      <c r="C13" s="568">
        <v>4.2</v>
      </c>
      <c r="D13" s="572">
        <v>10</v>
      </c>
    </row>
    <row r="14" spans="1:5" ht="18" customHeight="1">
      <c r="A14" s="590" t="s">
        <v>468</v>
      </c>
      <c r="B14" s="589">
        <v>325.30239999999998</v>
      </c>
      <c r="C14" s="568">
        <v>7.5</v>
      </c>
      <c r="D14" s="572">
        <v>4</v>
      </c>
    </row>
    <row r="15" spans="1:5" ht="18" customHeight="1">
      <c r="A15" s="590" t="s">
        <v>469</v>
      </c>
      <c r="B15" s="589">
        <v>562.54010000000005</v>
      </c>
      <c r="C15" s="568">
        <v>7</v>
      </c>
      <c r="D15" s="572">
        <v>6</v>
      </c>
    </row>
    <row r="16" spans="1:5" ht="18" customHeight="1">
      <c r="A16" s="592" t="s">
        <v>470</v>
      </c>
      <c r="B16" s="589"/>
      <c r="C16" s="568"/>
      <c r="D16" s="572"/>
      <c r="E16" s="268"/>
    </row>
    <row r="17" spans="1:4" ht="18" customHeight="1">
      <c r="A17" s="588" t="s">
        <v>458</v>
      </c>
      <c r="B17" s="589">
        <v>533.61469999999997</v>
      </c>
      <c r="C17" s="568">
        <v>4.5</v>
      </c>
      <c r="D17" s="572" t="s">
        <v>459</v>
      </c>
    </row>
    <row r="18" spans="1:4" ht="18" customHeight="1">
      <c r="A18" s="588" t="s">
        <v>460</v>
      </c>
      <c r="B18" s="589">
        <v>1.5219</v>
      </c>
      <c r="C18" s="568">
        <v>-1.2</v>
      </c>
      <c r="D18" s="572">
        <v>10</v>
      </c>
    </row>
    <row r="19" spans="1:4" ht="18" customHeight="1">
      <c r="A19" s="590" t="s">
        <v>461</v>
      </c>
      <c r="B19" s="589">
        <v>2.3045</v>
      </c>
      <c r="C19" s="568">
        <v>-1.1000000000000001</v>
      </c>
      <c r="D19" s="572">
        <v>9</v>
      </c>
    </row>
    <row r="20" spans="1:4" ht="18" customHeight="1">
      <c r="A20" s="591" t="s">
        <v>462</v>
      </c>
      <c r="B20" s="589">
        <v>17.4407</v>
      </c>
      <c r="C20" s="568">
        <v>5.2</v>
      </c>
      <c r="D20" s="572">
        <v>5</v>
      </c>
    </row>
    <row r="21" spans="1:4" ht="18" customHeight="1">
      <c r="A21" s="590" t="s">
        <v>463</v>
      </c>
      <c r="B21" s="589">
        <v>23.876300000000001</v>
      </c>
      <c r="C21" s="568">
        <v>4.8</v>
      </c>
      <c r="D21" s="572">
        <v>6</v>
      </c>
    </row>
    <row r="22" spans="1:4" ht="18" customHeight="1">
      <c r="A22" s="590" t="s">
        <v>464</v>
      </c>
      <c r="B22" s="589">
        <v>23.410599999999999</v>
      </c>
      <c r="C22" s="568">
        <v>2.8</v>
      </c>
      <c r="D22" s="572">
        <v>8</v>
      </c>
    </row>
    <row r="23" spans="1:4" ht="18" customHeight="1">
      <c r="A23" s="590" t="s">
        <v>465</v>
      </c>
      <c r="B23" s="589">
        <v>31.046199999999999</v>
      </c>
      <c r="C23" s="568">
        <v>4.5</v>
      </c>
      <c r="D23" s="572">
        <v>7</v>
      </c>
    </row>
    <row r="24" spans="1:4" ht="18" customHeight="1">
      <c r="A24" s="590" t="s">
        <v>466</v>
      </c>
      <c r="B24" s="589">
        <v>83.557299999999998</v>
      </c>
      <c r="C24" s="568">
        <v>5.4</v>
      </c>
      <c r="D24" s="572">
        <v>3</v>
      </c>
    </row>
    <row r="25" spans="1:4" ht="18" customHeight="1">
      <c r="A25" s="590" t="s">
        <v>467</v>
      </c>
      <c r="B25" s="589">
        <v>121.66849999999999</v>
      </c>
      <c r="C25" s="568">
        <v>5.7</v>
      </c>
      <c r="D25" s="572">
        <v>1</v>
      </c>
    </row>
    <row r="26" spans="1:4" ht="18" customHeight="1">
      <c r="A26" s="590" t="s">
        <v>468</v>
      </c>
      <c r="B26" s="589">
        <v>118.71259999999999</v>
      </c>
      <c r="C26" s="568">
        <v>5.5</v>
      </c>
      <c r="D26" s="572">
        <v>2</v>
      </c>
    </row>
    <row r="27" spans="1:4" ht="18" customHeight="1">
      <c r="A27" s="575" t="s">
        <v>469</v>
      </c>
      <c r="B27" s="593">
        <v>109.5806</v>
      </c>
      <c r="C27" s="568">
        <v>5.3</v>
      </c>
      <c r="D27" s="572">
        <v>4</v>
      </c>
    </row>
    <row r="28" spans="1:4">
      <c r="A28" s="1114" t="s">
        <v>471</v>
      </c>
      <c r="B28" s="1115"/>
      <c r="C28" s="1114"/>
      <c r="D28" s="1114"/>
    </row>
  </sheetData>
  <sheetProtection password="DC9E" sheet="1" objects="1" scenarios="1"/>
  <mergeCells count="2">
    <mergeCell ref="A1:D1"/>
    <mergeCell ref="A28:D28"/>
  </mergeCells>
  <phoneticPr fontId="11" type="noConversion"/>
  <printOptions horizontalCentered="1"/>
  <pageMargins left="0.75" right="0.75" top="0.38888888888888901" bottom="0.38888888888888901" header="0.50902777777777797" footer="0.50902777777777797"/>
  <pageSetup paperSize="9" orientation="portrait"/>
  <headerFooter scaleWithDoc="0"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C00000"/>
  </sheetPr>
  <dimension ref="A1:D42"/>
  <sheetViews>
    <sheetView zoomScale="80" zoomScaleNormal="80" workbookViewId="0">
      <selection activeCell="H7" sqref="H7"/>
    </sheetView>
  </sheetViews>
  <sheetFormatPr defaultColWidth="9" defaultRowHeight="14.25"/>
  <cols>
    <col min="1" max="1" width="32.375" style="252" customWidth="1"/>
    <col min="2" max="2" width="13.125" style="253" customWidth="1"/>
    <col min="3" max="3" width="13.125" style="302" customWidth="1"/>
    <col min="4" max="4" width="13.125" style="253" customWidth="1"/>
    <col min="5" max="16384" width="9" style="253"/>
  </cols>
  <sheetData>
    <row r="1" spans="1:4" ht="34.5" customHeight="1">
      <c r="A1" s="1112" t="s">
        <v>472</v>
      </c>
      <c r="B1" s="1112"/>
      <c r="C1" s="1112"/>
      <c r="D1" s="1116"/>
    </row>
    <row r="2" spans="1:4" ht="20.25" customHeight="1">
      <c r="A2" s="543"/>
      <c r="B2" s="543"/>
      <c r="C2" s="543"/>
      <c r="D2" s="253" t="s">
        <v>473</v>
      </c>
    </row>
    <row r="3" spans="1:4" ht="28.5" customHeight="1">
      <c r="A3" s="544" t="s">
        <v>455</v>
      </c>
      <c r="B3" s="545" t="s">
        <v>34</v>
      </c>
      <c r="C3" s="546" t="s">
        <v>5</v>
      </c>
      <c r="D3" s="547" t="s">
        <v>456</v>
      </c>
    </row>
    <row r="4" spans="1:4" ht="18" customHeight="1">
      <c r="A4" s="565" t="s">
        <v>474</v>
      </c>
      <c r="B4" s="566"/>
      <c r="C4" s="567"/>
      <c r="D4" s="559"/>
    </row>
    <row r="5" spans="1:4" ht="18" customHeight="1">
      <c r="A5" s="552" t="s">
        <v>458</v>
      </c>
      <c r="B5" s="549">
        <v>1086.6143999999999</v>
      </c>
      <c r="C5" s="568">
        <v>5.2</v>
      </c>
      <c r="D5" s="559" t="s">
        <v>459</v>
      </c>
    </row>
    <row r="6" spans="1:4" ht="18" customHeight="1">
      <c r="A6" s="552" t="s">
        <v>460</v>
      </c>
      <c r="B6" s="549">
        <v>55.6066</v>
      </c>
      <c r="C6" s="568">
        <v>4.3</v>
      </c>
      <c r="D6" s="559">
        <v>8</v>
      </c>
    </row>
    <row r="7" spans="1:4" ht="18" customHeight="1">
      <c r="A7" s="330" t="s">
        <v>461</v>
      </c>
      <c r="B7" s="549">
        <v>191.19990000000001</v>
      </c>
      <c r="C7" s="568">
        <v>1.3</v>
      </c>
      <c r="D7" s="559">
        <v>10</v>
      </c>
    </row>
    <row r="8" spans="1:4" ht="18" customHeight="1">
      <c r="A8" s="556" t="s">
        <v>462</v>
      </c>
      <c r="B8" s="549">
        <v>221.97</v>
      </c>
      <c r="C8" s="568">
        <v>7.2</v>
      </c>
      <c r="D8" s="559">
        <v>6</v>
      </c>
    </row>
    <row r="9" spans="1:4" ht="18" customHeight="1">
      <c r="A9" s="330" t="s">
        <v>463</v>
      </c>
      <c r="B9" s="549">
        <v>104.4192</v>
      </c>
      <c r="C9" s="568">
        <v>8.3000000000000007</v>
      </c>
      <c r="D9" s="559">
        <v>5</v>
      </c>
    </row>
    <row r="10" spans="1:4" ht="18" customHeight="1">
      <c r="A10" s="330" t="s">
        <v>464</v>
      </c>
      <c r="B10" s="549">
        <v>215.39920000000001</v>
      </c>
      <c r="C10" s="568">
        <v>9.9</v>
      </c>
      <c r="D10" s="559">
        <v>2</v>
      </c>
    </row>
    <row r="11" spans="1:4" ht="18" customHeight="1">
      <c r="A11" s="330" t="s">
        <v>465</v>
      </c>
      <c r="B11" s="549">
        <v>119.00530000000001</v>
      </c>
      <c r="C11" s="568">
        <v>6.5</v>
      </c>
      <c r="D11" s="559">
        <v>7</v>
      </c>
    </row>
    <row r="12" spans="1:4" ht="18" customHeight="1">
      <c r="A12" s="330" t="s">
        <v>466</v>
      </c>
      <c r="B12" s="549">
        <v>17.0428</v>
      </c>
      <c r="C12" s="568">
        <v>26.5</v>
      </c>
      <c r="D12" s="559">
        <v>1</v>
      </c>
    </row>
    <row r="13" spans="1:4" ht="18" customHeight="1">
      <c r="A13" s="330" t="s">
        <v>467</v>
      </c>
      <c r="B13" s="549">
        <v>29.904599999999999</v>
      </c>
      <c r="C13" s="568">
        <v>1.7</v>
      </c>
      <c r="D13" s="559">
        <v>9</v>
      </c>
    </row>
    <row r="14" spans="1:4" ht="18" customHeight="1">
      <c r="A14" s="330" t="s">
        <v>468</v>
      </c>
      <c r="B14" s="549">
        <v>84.111199999999997</v>
      </c>
      <c r="C14" s="568">
        <v>9</v>
      </c>
      <c r="D14" s="559">
        <v>3</v>
      </c>
    </row>
    <row r="15" spans="1:4" ht="18" customHeight="1">
      <c r="A15" s="330" t="s">
        <v>469</v>
      </c>
      <c r="B15" s="549">
        <v>268.22919999999999</v>
      </c>
      <c r="C15" s="568">
        <v>8.6999999999999993</v>
      </c>
      <c r="D15" s="559">
        <v>4</v>
      </c>
    </row>
    <row r="16" spans="1:4" ht="18" customHeight="1">
      <c r="A16" s="569" t="s">
        <v>475</v>
      </c>
      <c r="B16" s="570"/>
      <c r="C16" s="571"/>
      <c r="D16" s="572"/>
    </row>
    <row r="17" spans="1:4" ht="18" customHeight="1">
      <c r="A17" s="552" t="s">
        <v>458</v>
      </c>
      <c r="B17" s="573">
        <v>1388.1637000000001</v>
      </c>
      <c r="C17" s="574">
        <v>7.2</v>
      </c>
      <c r="D17" s="554" t="s">
        <v>459</v>
      </c>
    </row>
    <row r="18" spans="1:4" ht="18" customHeight="1">
      <c r="A18" s="552" t="s">
        <v>460</v>
      </c>
      <c r="B18" s="573">
        <v>286.09800000000001</v>
      </c>
      <c r="C18" s="574">
        <v>8.8000000000000007</v>
      </c>
      <c r="D18" s="555">
        <v>3</v>
      </c>
    </row>
    <row r="19" spans="1:4" ht="18" customHeight="1">
      <c r="A19" s="330" t="s">
        <v>461</v>
      </c>
      <c r="B19" s="573">
        <v>274.75729999999999</v>
      </c>
      <c r="C19" s="574">
        <v>9.6</v>
      </c>
      <c r="D19" s="555">
        <v>2</v>
      </c>
    </row>
    <row r="20" spans="1:4" ht="18" customHeight="1">
      <c r="A20" s="556" t="s">
        <v>462</v>
      </c>
      <c r="B20" s="573">
        <v>68.567700000000002</v>
      </c>
      <c r="C20" s="574">
        <v>2</v>
      </c>
      <c r="D20" s="555">
        <v>10</v>
      </c>
    </row>
    <row r="21" spans="1:4" ht="18" customHeight="1">
      <c r="A21" s="330" t="s">
        <v>463</v>
      </c>
      <c r="B21" s="573">
        <v>38.2729</v>
      </c>
      <c r="C21" s="574">
        <v>7.3</v>
      </c>
      <c r="D21" s="555">
        <v>7</v>
      </c>
    </row>
    <row r="22" spans="1:4" ht="18" customHeight="1">
      <c r="A22" s="330" t="s">
        <v>464</v>
      </c>
      <c r="B22" s="573">
        <v>163.2285</v>
      </c>
      <c r="C22" s="574">
        <v>10</v>
      </c>
      <c r="D22" s="555">
        <v>1</v>
      </c>
    </row>
    <row r="23" spans="1:4" ht="18" customHeight="1">
      <c r="A23" s="330" t="s">
        <v>465</v>
      </c>
      <c r="B23" s="573">
        <v>131.95070000000001</v>
      </c>
      <c r="C23" s="574">
        <v>8.1999999999999993</v>
      </c>
      <c r="D23" s="555">
        <v>4</v>
      </c>
    </row>
    <row r="24" spans="1:4" ht="18" customHeight="1">
      <c r="A24" s="330" t="s">
        <v>466</v>
      </c>
      <c r="B24" s="573">
        <v>89.996700000000004</v>
      </c>
      <c r="C24" s="574">
        <v>7.5</v>
      </c>
      <c r="D24" s="555">
        <v>6</v>
      </c>
    </row>
    <row r="25" spans="1:4" ht="18" customHeight="1">
      <c r="A25" s="330" t="s">
        <v>467</v>
      </c>
      <c r="B25" s="573">
        <v>158.0993</v>
      </c>
      <c r="C25" s="574">
        <v>3.7</v>
      </c>
      <c r="D25" s="555">
        <v>9</v>
      </c>
    </row>
    <row r="26" spans="1:4" ht="18" customHeight="1">
      <c r="A26" s="330" t="s">
        <v>468</v>
      </c>
      <c r="B26" s="573">
        <v>122.4786</v>
      </c>
      <c r="C26" s="574">
        <v>8.1999999999999993</v>
      </c>
      <c r="D26" s="555">
        <v>4</v>
      </c>
    </row>
    <row r="27" spans="1:4" ht="18" customHeight="1">
      <c r="A27" s="575" t="s">
        <v>469</v>
      </c>
      <c r="B27" s="576">
        <v>184.7303</v>
      </c>
      <c r="C27" s="577">
        <v>5.6</v>
      </c>
      <c r="D27" s="578">
        <v>8</v>
      </c>
    </row>
    <row r="28" spans="1:4">
      <c r="A28" s="253"/>
      <c r="C28" s="253"/>
    </row>
    <row r="32" spans="1:4">
      <c r="A32" s="328"/>
    </row>
    <row r="33" spans="1:1">
      <c r="A33" s="328"/>
    </row>
    <row r="34" spans="1:1">
      <c r="A34" s="328"/>
    </row>
    <row r="35" spans="1:1">
      <c r="A35" s="329"/>
    </row>
    <row r="36" spans="1:1">
      <c r="A36" s="330"/>
    </row>
    <row r="37" spans="1:1">
      <c r="A37" s="330"/>
    </row>
    <row r="38" spans="1:1">
      <c r="A38" s="330"/>
    </row>
    <row r="39" spans="1:1">
      <c r="A39" s="330"/>
    </row>
    <row r="40" spans="1:1">
      <c r="A40" s="330"/>
    </row>
    <row r="41" spans="1:1">
      <c r="A41" s="309"/>
    </row>
    <row r="42" spans="1:1">
      <c r="A42" s="328"/>
    </row>
  </sheetData>
  <sheetProtection password="DC9E" sheet="1" objects="1" scenarios="1"/>
  <mergeCells count="1">
    <mergeCell ref="A1:D1"/>
  </mergeCells>
  <phoneticPr fontId="11" type="noConversion"/>
  <pageMargins left="0.75" right="0.75" top="0.58888888888888902" bottom="0.58888888888888902" header="0.50902777777777797" footer="0.50902777777777797"/>
  <pageSetup paperSize="9" scale="98" orientation="portrait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C00000"/>
  </sheetPr>
  <dimension ref="A1:D43"/>
  <sheetViews>
    <sheetView zoomScale="80" zoomScaleNormal="80" workbookViewId="0">
      <selection activeCell="J14" sqref="J14"/>
    </sheetView>
  </sheetViews>
  <sheetFormatPr defaultColWidth="9" defaultRowHeight="14.25"/>
  <cols>
    <col min="1" max="1" width="45" style="252" customWidth="1"/>
    <col min="2" max="2" width="11.5" style="541" customWidth="1"/>
    <col min="3" max="3" width="9.375" style="542" customWidth="1"/>
    <col min="4" max="4" width="12.25" style="541" customWidth="1"/>
    <col min="5" max="16384" width="9" style="541"/>
  </cols>
  <sheetData>
    <row r="1" spans="1:4" ht="34.5" customHeight="1">
      <c r="A1" s="1112" t="s">
        <v>476</v>
      </c>
      <c r="B1" s="1112"/>
      <c r="C1" s="1112"/>
      <c r="D1" s="1116"/>
    </row>
    <row r="2" spans="1:4" ht="20.25" customHeight="1">
      <c r="A2" s="543"/>
      <c r="B2" s="543"/>
      <c r="C2" s="543"/>
      <c r="D2" s="253" t="s">
        <v>473</v>
      </c>
    </row>
    <row r="3" spans="1:4" ht="28.5" customHeight="1">
      <c r="A3" s="544" t="s">
        <v>455</v>
      </c>
      <c r="B3" s="545" t="s">
        <v>34</v>
      </c>
      <c r="C3" s="546" t="s">
        <v>5</v>
      </c>
      <c r="D3" s="547" t="s">
        <v>456</v>
      </c>
    </row>
    <row r="4" spans="1:4" ht="18" customHeight="1">
      <c r="A4" s="548" t="s">
        <v>477</v>
      </c>
      <c r="B4" s="549"/>
      <c r="C4" s="550"/>
      <c r="D4" s="551"/>
    </row>
    <row r="5" spans="1:4" ht="18" customHeight="1">
      <c r="A5" s="552" t="s">
        <v>458</v>
      </c>
      <c r="B5" s="549">
        <v>937.24680000000001</v>
      </c>
      <c r="C5" s="553">
        <v>4.8</v>
      </c>
      <c r="D5" s="554" t="s">
        <v>459</v>
      </c>
    </row>
    <row r="6" spans="1:4" ht="18" customHeight="1">
      <c r="A6" s="552" t="s">
        <v>460</v>
      </c>
      <c r="B6" s="549">
        <v>50.1723</v>
      </c>
      <c r="C6" s="553">
        <v>4</v>
      </c>
      <c r="D6" s="555">
        <v>8</v>
      </c>
    </row>
    <row r="7" spans="1:4" ht="18" customHeight="1">
      <c r="A7" s="330" t="s">
        <v>461</v>
      </c>
      <c r="B7" s="549">
        <v>169.5395</v>
      </c>
      <c r="C7" s="553">
        <v>1.3</v>
      </c>
      <c r="D7" s="555">
        <v>9</v>
      </c>
    </row>
    <row r="8" spans="1:4" ht="18" customHeight="1">
      <c r="A8" s="556" t="s">
        <v>462</v>
      </c>
      <c r="B8" s="549">
        <v>211.29769999999999</v>
      </c>
      <c r="C8" s="553">
        <v>6</v>
      </c>
      <c r="D8" s="555">
        <v>7</v>
      </c>
    </row>
    <row r="9" spans="1:4" ht="18" customHeight="1">
      <c r="A9" s="330" t="s">
        <v>463</v>
      </c>
      <c r="B9" s="549">
        <v>99.792699999999996</v>
      </c>
      <c r="C9" s="553">
        <v>8</v>
      </c>
      <c r="D9" s="555">
        <v>5</v>
      </c>
    </row>
    <row r="10" spans="1:4" ht="18" customHeight="1">
      <c r="A10" s="330" t="s">
        <v>464</v>
      </c>
      <c r="B10" s="549">
        <v>197.66759999999999</v>
      </c>
      <c r="C10" s="553">
        <v>9.1999999999999993</v>
      </c>
      <c r="D10" s="555">
        <v>3</v>
      </c>
    </row>
    <row r="11" spans="1:4" ht="18" customHeight="1">
      <c r="A11" s="330" t="s">
        <v>465</v>
      </c>
      <c r="B11" s="549">
        <v>84.843900000000005</v>
      </c>
      <c r="C11" s="553">
        <v>6.9</v>
      </c>
      <c r="D11" s="555">
        <v>6</v>
      </c>
    </row>
    <row r="12" spans="1:4" ht="18" customHeight="1">
      <c r="A12" s="330" t="s">
        <v>466</v>
      </c>
      <c r="B12" s="549">
        <v>11.599</v>
      </c>
      <c r="C12" s="553">
        <v>13.6</v>
      </c>
      <c r="D12" s="555">
        <v>1</v>
      </c>
    </row>
    <row r="13" spans="1:4" ht="18" customHeight="1">
      <c r="A13" s="330" t="s">
        <v>467</v>
      </c>
      <c r="B13" s="549">
        <v>25.696100000000001</v>
      </c>
      <c r="C13" s="553">
        <v>1</v>
      </c>
      <c r="D13" s="555">
        <v>10</v>
      </c>
    </row>
    <row r="14" spans="1:4" ht="18" customHeight="1">
      <c r="A14" s="330" t="s">
        <v>468</v>
      </c>
      <c r="B14" s="549">
        <v>74.600300000000004</v>
      </c>
      <c r="C14" s="553">
        <v>9.6999999999999993</v>
      </c>
      <c r="D14" s="555">
        <v>2</v>
      </c>
    </row>
    <row r="15" spans="1:4" ht="18" customHeight="1">
      <c r="A15" s="330" t="s">
        <v>469</v>
      </c>
      <c r="B15" s="549">
        <v>225.5779</v>
      </c>
      <c r="C15" s="553">
        <v>9.1</v>
      </c>
      <c r="D15" s="555">
        <v>4</v>
      </c>
    </row>
    <row r="16" spans="1:4" ht="18" customHeight="1">
      <c r="A16" s="1117" t="s">
        <v>478</v>
      </c>
      <c r="B16" s="1117"/>
      <c r="C16" s="1117"/>
      <c r="D16" s="1117"/>
    </row>
    <row r="17" spans="1:4" ht="18" customHeight="1">
      <c r="A17" s="557" t="s">
        <v>458</v>
      </c>
      <c r="B17" s="558">
        <v>323.1035</v>
      </c>
      <c r="C17" s="559" t="s">
        <v>459</v>
      </c>
      <c r="D17" s="559" t="s">
        <v>459</v>
      </c>
    </row>
    <row r="18" spans="1:4" ht="18" customHeight="1">
      <c r="A18" s="557" t="s">
        <v>460</v>
      </c>
      <c r="B18" s="558">
        <v>15.385300000000001</v>
      </c>
      <c r="C18" s="559" t="s">
        <v>459</v>
      </c>
      <c r="D18" s="559" t="s">
        <v>459</v>
      </c>
    </row>
    <row r="19" spans="1:4" ht="18" customHeight="1">
      <c r="A19" s="560" t="s">
        <v>461</v>
      </c>
      <c r="B19" s="558">
        <v>86.452100000000002</v>
      </c>
      <c r="C19" s="559" t="s">
        <v>459</v>
      </c>
      <c r="D19" s="559" t="s">
        <v>459</v>
      </c>
    </row>
    <row r="20" spans="1:4" ht="18" customHeight="1">
      <c r="A20" s="561" t="s">
        <v>462</v>
      </c>
      <c r="B20" s="558">
        <v>35.866300000000003</v>
      </c>
      <c r="C20" s="559" t="s">
        <v>459</v>
      </c>
      <c r="D20" s="559" t="s">
        <v>459</v>
      </c>
    </row>
    <row r="21" spans="1:4" ht="18" customHeight="1">
      <c r="A21" s="560" t="s">
        <v>463</v>
      </c>
      <c r="B21" s="558">
        <v>23.419599999999999</v>
      </c>
      <c r="C21" s="559" t="s">
        <v>459</v>
      </c>
      <c r="D21" s="559" t="s">
        <v>459</v>
      </c>
    </row>
    <row r="22" spans="1:4" ht="18" customHeight="1">
      <c r="A22" s="560" t="s">
        <v>465</v>
      </c>
      <c r="B22" s="558">
        <v>14.677199999999999</v>
      </c>
      <c r="C22" s="559" t="s">
        <v>459</v>
      </c>
      <c r="D22" s="559" t="s">
        <v>459</v>
      </c>
    </row>
    <row r="23" spans="1:4" ht="18" customHeight="1">
      <c r="A23" s="560" t="s">
        <v>466</v>
      </c>
      <c r="B23" s="558">
        <v>3.8641000000000001</v>
      </c>
      <c r="C23" s="559" t="s">
        <v>459</v>
      </c>
      <c r="D23" s="559" t="s">
        <v>459</v>
      </c>
    </row>
    <row r="24" spans="1:4" ht="18" customHeight="1">
      <c r="A24" s="560" t="s">
        <v>467</v>
      </c>
      <c r="B24" s="558">
        <v>12.209199999999999</v>
      </c>
      <c r="C24" s="559" t="s">
        <v>459</v>
      </c>
      <c r="D24" s="559" t="s">
        <v>459</v>
      </c>
    </row>
    <row r="25" spans="1:4" ht="18" customHeight="1">
      <c r="A25" s="560" t="s">
        <v>479</v>
      </c>
      <c r="B25" s="558">
        <v>0</v>
      </c>
      <c r="C25" s="559" t="s">
        <v>459</v>
      </c>
      <c r="D25" s="559" t="s">
        <v>459</v>
      </c>
    </row>
    <row r="26" spans="1:4" ht="18" customHeight="1">
      <c r="A26" s="560" t="s">
        <v>468</v>
      </c>
      <c r="B26" s="558">
        <v>24.454999999999998</v>
      </c>
      <c r="C26" s="559" t="s">
        <v>459</v>
      </c>
      <c r="D26" s="559" t="s">
        <v>459</v>
      </c>
    </row>
    <row r="27" spans="1:4" ht="18" customHeight="1">
      <c r="A27" s="560" t="s">
        <v>469</v>
      </c>
      <c r="B27" s="558">
        <v>43.873600000000003</v>
      </c>
      <c r="C27" s="559" t="s">
        <v>459</v>
      </c>
      <c r="D27" s="559" t="s">
        <v>459</v>
      </c>
    </row>
    <row r="28" spans="1:4" ht="18" customHeight="1">
      <c r="A28" s="562" t="s">
        <v>480</v>
      </c>
      <c r="B28" s="563">
        <v>90.612499999999997</v>
      </c>
      <c r="C28" s="564" t="s">
        <v>459</v>
      </c>
      <c r="D28" s="564" t="s">
        <v>459</v>
      </c>
    </row>
    <row r="33" spans="1:1">
      <c r="A33" s="328"/>
    </row>
    <row r="34" spans="1:1">
      <c r="A34" s="328"/>
    </row>
    <row r="35" spans="1:1">
      <c r="A35" s="328"/>
    </row>
    <row r="36" spans="1:1">
      <c r="A36" s="329"/>
    </row>
    <row r="37" spans="1:1">
      <c r="A37" s="330"/>
    </row>
    <row r="38" spans="1:1">
      <c r="A38" s="330"/>
    </row>
    <row r="39" spans="1:1">
      <c r="A39" s="330"/>
    </row>
    <row r="40" spans="1:1">
      <c r="A40" s="330"/>
    </row>
    <row r="41" spans="1:1">
      <c r="A41" s="330"/>
    </row>
    <row r="42" spans="1:1">
      <c r="A42" s="309"/>
    </row>
    <row r="43" spans="1:1">
      <c r="A43" s="328"/>
    </row>
  </sheetData>
  <sheetProtection password="DC9E" sheet="1" objects="1" scenarios="1"/>
  <mergeCells count="2">
    <mergeCell ref="A1:D1"/>
    <mergeCell ref="A16:D16"/>
  </mergeCells>
  <phoneticPr fontId="11" type="noConversion"/>
  <pageMargins left="0.75" right="0.75" top="0.58888888888888902" bottom="0.58888888888888902" header="0.50902777777777797" footer="0.50902777777777797"/>
  <pageSetup paperSize="9" scale="98" orientation="portrait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5"/>
  </sheetPr>
  <dimension ref="A1:E38"/>
  <sheetViews>
    <sheetView zoomScale="90" zoomScaleNormal="90" workbookViewId="0">
      <selection activeCell="H6" sqref="H6"/>
    </sheetView>
  </sheetViews>
  <sheetFormatPr defaultColWidth="9" defaultRowHeight="14.25"/>
  <cols>
    <col min="1" max="1" width="33.875" style="43" customWidth="1"/>
    <col min="2" max="2" width="13" style="43" customWidth="1"/>
    <col min="3" max="3" width="9.75" style="43" customWidth="1"/>
    <col min="4" max="4" width="13.125" style="482" customWidth="1"/>
    <col min="5" max="5" width="13.125" style="483" customWidth="1"/>
    <col min="6" max="16384" width="9" style="482"/>
  </cols>
  <sheetData>
    <row r="1" spans="1:5" ht="34.5" customHeight="1">
      <c r="A1" s="1118" t="s">
        <v>481</v>
      </c>
      <c r="B1" s="1118"/>
      <c r="C1" s="1118"/>
      <c r="D1" s="1118"/>
      <c r="E1" s="1118"/>
    </row>
    <row r="2" spans="1:5" ht="20.25" customHeight="1">
      <c r="A2" s="524"/>
      <c r="B2" s="524"/>
      <c r="C2" s="524"/>
      <c r="D2" s="524"/>
      <c r="E2" s="525" t="s">
        <v>37</v>
      </c>
    </row>
    <row r="3" spans="1:5" ht="28.5" customHeight="1">
      <c r="A3" s="526" t="s">
        <v>455</v>
      </c>
      <c r="B3" s="527" t="s">
        <v>80</v>
      </c>
      <c r="C3" s="528" t="s">
        <v>81</v>
      </c>
      <c r="D3" s="529" t="s">
        <v>82</v>
      </c>
      <c r="E3" s="529" t="s">
        <v>5</v>
      </c>
    </row>
    <row r="4" spans="1:5" ht="18" customHeight="1">
      <c r="A4" s="530" t="s">
        <v>482</v>
      </c>
      <c r="B4" s="531"/>
      <c r="C4" s="532"/>
      <c r="D4" s="531"/>
      <c r="E4" s="533"/>
    </row>
    <row r="5" spans="1:5" ht="18" customHeight="1">
      <c r="A5" s="534" t="s">
        <v>458</v>
      </c>
      <c r="B5" s="535">
        <v>50.156100000000002</v>
      </c>
      <c r="C5" s="536">
        <v>3.9</v>
      </c>
      <c r="D5" s="535">
        <v>108.2115</v>
      </c>
      <c r="E5" s="536">
        <v>3.7</v>
      </c>
    </row>
    <row r="6" spans="1:5" ht="18" customHeight="1">
      <c r="A6" s="534" t="s">
        <v>460</v>
      </c>
      <c r="B6" s="535">
        <v>1.5709</v>
      </c>
      <c r="C6" s="536">
        <v>-11.9</v>
      </c>
      <c r="D6" s="535">
        <v>6.6836000000000002</v>
      </c>
      <c r="E6" s="536">
        <v>9.5</v>
      </c>
    </row>
    <row r="7" spans="1:5" ht="18" customHeight="1">
      <c r="A7" s="537" t="s">
        <v>461</v>
      </c>
      <c r="B7" s="535">
        <v>13.301399999999999</v>
      </c>
      <c r="C7" s="536">
        <v>5.0999999999999996</v>
      </c>
      <c r="D7" s="535">
        <v>28.376200000000001</v>
      </c>
      <c r="E7" s="536">
        <v>2.5</v>
      </c>
    </row>
    <row r="8" spans="1:5" ht="18" customHeight="1">
      <c r="A8" s="538" t="s">
        <v>462</v>
      </c>
      <c r="B8" s="535">
        <v>13.266299999999999</v>
      </c>
      <c r="C8" s="536">
        <v>0.9</v>
      </c>
      <c r="D8" s="535">
        <v>27.6096</v>
      </c>
      <c r="E8" s="536">
        <v>-1.1000000000000001</v>
      </c>
    </row>
    <row r="9" spans="1:5" ht="18" customHeight="1">
      <c r="A9" s="537" t="s">
        <v>463</v>
      </c>
      <c r="B9" s="535">
        <v>4.6380999999999997</v>
      </c>
      <c r="C9" s="536">
        <v>12.5</v>
      </c>
      <c r="D9" s="535">
        <v>7.5682999999999998</v>
      </c>
      <c r="E9" s="536">
        <v>10.9</v>
      </c>
    </row>
    <row r="10" spans="1:5" ht="18" customHeight="1">
      <c r="A10" s="537" t="s">
        <v>465</v>
      </c>
      <c r="B10" s="535">
        <v>1.6726000000000001</v>
      </c>
      <c r="C10" s="536">
        <v>4.2</v>
      </c>
      <c r="D10" s="535">
        <v>3.3445999999999998</v>
      </c>
      <c r="E10" s="536">
        <v>1.4</v>
      </c>
    </row>
    <row r="11" spans="1:5" ht="18" customHeight="1">
      <c r="A11" s="537" t="s">
        <v>466</v>
      </c>
      <c r="B11" s="535">
        <v>0.95169999999999999</v>
      </c>
      <c r="C11" s="536">
        <v>8</v>
      </c>
      <c r="D11" s="535">
        <v>2.1248999999999998</v>
      </c>
      <c r="E11" s="536">
        <v>0.1</v>
      </c>
    </row>
    <row r="12" spans="1:5" ht="18" customHeight="1">
      <c r="A12" s="539" t="s">
        <v>467</v>
      </c>
      <c r="B12" s="535">
        <v>0.76849999999999996</v>
      </c>
      <c r="C12" s="536">
        <v>2.2000000000000002</v>
      </c>
      <c r="D12" s="535">
        <v>1.776</v>
      </c>
      <c r="E12" s="536">
        <v>1.1000000000000001</v>
      </c>
    </row>
    <row r="13" spans="1:5" ht="18" customHeight="1">
      <c r="A13" s="539" t="s">
        <v>468</v>
      </c>
      <c r="B13" s="535">
        <v>2.2050999999999998</v>
      </c>
      <c r="C13" s="536">
        <v>-3</v>
      </c>
      <c r="D13" s="535">
        <v>5.6643999999999997</v>
      </c>
      <c r="E13" s="536">
        <v>6</v>
      </c>
    </row>
    <row r="14" spans="1:5" ht="18" customHeight="1">
      <c r="A14" s="539" t="s">
        <v>469</v>
      </c>
      <c r="B14" s="535">
        <v>5.6955</v>
      </c>
      <c r="C14" s="536">
        <v>22.2</v>
      </c>
      <c r="D14" s="535">
        <v>12.504799999999999</v>
      </c>
      <c r="E14" s="536">
        <v>12.6</v>
      </c>
    </row>
    <row r="15" spans="1:5" ht="18" customHeight="1">
      <c r="A15" s="539" t="s">
        <v>480</v>
      </c>
      <c r="B15" s="535">
        <v>11.2645</v>
      </c>
      <c r="C15" s="536">
        <v>6.8</v>
      </c>
      <c r="D15" s="535">
        <v>21.811199999999999</v>
      </c>
      <c r="E15" s="536">
        <v>7.6</v>
      </c>
    </row>
    <row r="16" spans="1:5" ht="18" customHeight="1">
      <c r="A16" s="540" t="s">
        <v>483</v>
      </c>
      <c r="B16" s="535"/>
      <c r="C16" s="536"/>
      <c r="D16" s="535"/>
      <c r="E16" s="536"/>
    </row>
    <row r="17" spans="1:5" ht="18" customHeight="1">
      <c r="A17" s="534" t="s">
        <v>458</v>
      </c>
      <c r="B17" s="535">
        <v>156.9033</v>
      </c>
      <c r="C17" s="536">
        <v>3.8</v>
      </c>
      <c r="D17" s="535">
        <v>340.39429999999999</v>
      </c>
      <c r="E17" s="536">
        <v>4.0999999999999996</v>
      </c>
    </row>
    <row r="18" spans="1:5" ht="18" customHeight="1">
      <c r="A18" s="534" t="s">
        <v>460</v>
      </c>
      <c r="B18" s="535">
        <v>4.4291999999999998</v>
      </c>
      <c r="C18" s="536">
        <v>-9.4</v>
      </c>
      <c r="D18" s="535">
        <v>15.0503</v>
      </c>
      <c r="E18" s="536">
        <v>3.9</v>
      </c>
    </row>
    <row r="19" spans="1:5" ht="18" customHeight="1">
      <c r="A19" s="537" t="s">
        <v>461</v>
      </c>
      <c r="B19" s="535">
        <v>38.396999999999998</v>
      </c>
      <c r="C19" s="536">
        <v>7.9</v>
      </c>
      <c r="D19" s="535">
        <v>85.880399999999995</v>
      </c>
      <c r="E19" s="536">
        <v>7.3</v>
      </c>
    </row>
    <row r="20" spans="1:5" ht="18" customHeight="1">
      <c r="A20" s="538" t="s">
        <v>462</v>
      </c>
      <c r="B20" s="535">
        <v>16.860800000000001</v>
      </c>
      <c r="C20" s="536">
        <v>1.1000000000000001</v>
      </c>
      <c r="D20" s="535">
        <v>36.116500000000002</v>
      </c>
      <c r="E20" s="536">
        <v>0.2</v>
      </c>
    </row>
    <row r="21" spans="1:5" ht="18" customHeight="1">
      <c r="A21" s="537" t="s">
        <v>463</v>
      </c>
      <c r="B21" s="535">
        <v>16.1983</v>
      </c>
      <c r="C21" s="536">
        <v>9.1999999999999993</v>
      </c>
      <c r="D21" s="535">
        <v>27.4602</v>
      </c>
      <c r="E21" s="536">
        <v>6.6</v>
      </c>
    </row>
    <row r="22" spans="1:5" ht="18" customHeight="1">
      <c r="A22" s="537" t="s">
        <v>465</v>
      </c>
      <c r="B22" s="535">
        <v>7.4591000000000003</v>
      </c>
      <c r="C22" s="536">
        <v>6.3</v>
      </c>
      <c r="D22" s="535">
        <v>14.837899999999999</v>
      </c>
      <c r="E22" s="536">
        <v>2.5</v>
      </c>
    </row>
    <row r="23" spans="1:5">
      <c r="A23" s="537" t="s">
        <v>466</v>
      </c>
      <c r="B23" s="535">
        <v>2.1726000000000001</v>
      </c>
      <c r="C23" s="536">
        <v>-0.5</v>
      </c>
      <c r="D23" s="535">
        <v>5.3117000000000001</v>
      </c>
      <c r="E23" s="536">
        <v>0.5</v>
      </c>
    </row>
    <row r="24" spans="1:5">
      <c r="A24" s="539" t="s">
        <v>467</v>
      </c>
      <c r="B24" s="535">
        <v>6.6275000000000004</v>
      </c>
      <c r="C24" s="536">
        <v>1</v>
      </c>
      <c r="D24" s="535">
        <v>15.3706</v>
      </c>
      <c r="E24" s="536">
        <v>0.1</v>
      </c>
    </row>
    <row r="25" spans="1:5">
      <c r="A25" s="539" t="s">
        <v>468</v>
      </c>
      <c r="B25" s="535">
        <v>10.6913</v>
      </c>
      <c r="C25" s="536">
        <v>-4.2</v>
      </c>
      <c r="D25" s="535">
        <v>27.155799999999999</v>
      </c>
      <c r="E25" s="536">
        <v>5</v>
      </c>
    </row>
    <row r="26" spans="1:5">
      <c r="A26" s="539" t="s">
        <v>469</v>
      </c>
      <c r="B26" s="535">
        <v>20.395199999999999</v>
      </c>
      <c r="C26" s="536">
        <v>19.100000000000001</v>
      </c>
      <c r="D26" s="535">
        <v>45.2821</v>
      </c>
      <c r="E26" s="536">
        <v>14.1</v>
      </c>
    </row>
    <row r="27" spans="1:5">
      <c r="A27" s="539" t="s">
        <v>480</v>
      </c>
      <c r="B27" s="535">
        <v>50.730600000000003</v>
      </c>
      <c r="C27" s="536">
        <v>4.5</v>
      </c>
      <c r="D27" s="535">
        <v>98.744100000000003</v>
      </c>
      <c r="E27" s="536">
        <v>4.2</v>
      </c>
    </row>
    <row r="28" spans="1:5">
      <c r="A28" s="349"/>
      <c r="B28" s="349"/>
      <c r="C28" s="349"/>
    </row>
    <row r="29" spans="1:5">
      <c r="A29" s="349"/>
      <c r="B29" s="349"/>
      <c r="C29" s="349"/>
    </row>
    <row r="30" spans="1:5">
      <c r="A30" s="349"/>
      <c r="B30" s="349"/>
      <c r="C30" s="349"/>
    </row>
    <row r="31" spans="1:5">
      <c r="A31" s="350"/>
      <c r="B31" s="350"/>
      <c r="C31" s="350"/>
    </row>
    <row r="32" spans="1:5">
      <c r="A32" s="351"/>
      <c r="B32" s="351"/>
      <c r="C32" s="351"/>
    </row>
    <row r="33" spans="1:3">
      <c r="A33" s="351"/>
      <c r="B33" s="351"/>
      <c r="C33" s="351"/>
    </row>
    <row r="34" spans="1:3">
      <c r="A34" s="351"/>
      <c r="B34" s="351"/>
      <c r="C34" s="351"/>
    </row>
    <row r="35" spans="1:3">
      <c r="A35" s="351"/>
      <c r="B35" s="351"/>
      <c r="C35" s="351"/>
    </row>
    <row r="36" spans="1:3">
      <c r="A36" s="352"/>
      <c r="B36" s="352"/>
      <c r="C36" s="352"/>
    </row>
    <row r="37" spans="1:3">
      <c r="A37" s="50"/>
      <c r="B37" s="50"/>
      <c r="C37" s="50"/>
    </row>
    <row r="38" spans="1:3">
      <c r="A38" s="349"/>
      <c r="B38" s="349"/>
      <c r="C38" s="349"/>
    </row>
  </sheetData>
  <sheetProtection password="DC9E" sheet="1" objects="1" scenarios="1"/>
  <mergeCells count="1">
    <mergeCell ref="A1:E1"/>
  </mergeCells>
  <phoneticPr fontId="11" type="noConversion"/>
  <pageMargins left="0.75" right="0.75" top="0.58888888888888902" bottom="0.58888888888888902" header="0.50902777777777797" footer="0.50902777777777797"/>
  <pageSetup paperSize="9" scale="95" orientation="portrait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5"/>
  </sheetPr>
  <dimension ref="A1:D38"/>
  <sheetViews>
    <sheetView zoomScale="90" zoomScaleNormal="90" workbookViewId="0">
      <selection sqref="A1:XFD1048576"/>
    </sheetView>
  </sheetViews>
  <sheetFormatPr defaultColWidth="9" defaultRowHeight="14.25"/>
  <cols>
    <col min="1" max="1" width="42.875" style="198" customWidth="1"/>
    <col min="2" max="2" width="13" style="198" customWidth="1"/>
    <col min="3" max="3" width="9.75" style="198" customWidth="1"/>
    <col min="4" max="4" width="13.125" style="197" customWidth="1"/>
    <col min="5" max="16384" width="9" style="197"/>
  </cols>
  <sheetData>
    <row r="1" spans="1:4" ht="34.5" customHeight="1">
      <c r="A1" s="1119" t="s">
        <v>484</v>
      </c>
      <c r="B1" s="1119"/>
      <c r="C1" s="1119"/>
      <c r="D1" s="1119"/>
    </row>
    <row r="2" spans="1:4" ht="20.25" customHeight="1">
      <c r="A2" s="503"/>
      <c r="B2" s="503"/>
      <c r="C2" s="1120"/>
      <c r="D2" s="1120"/>
    </row>
    <row r="3" spans="1:4" ht="28.5" customHeight="1">
      <c r="A3" s="504" t="s">
        <v>455</v>
      </c>
      <c r="B3" s="505" t="s">
        <v>82</v>
      </c>
      <c r="C3" s="506" t="s">
        <v>5</v>
      </c>
      <c r="D3" s="507" t="s">
        <v>456</v>
      </c>
    </row>
    <row r="4" spans="1:4" ht="18" customHeight="1">
      <c r="A4" s="508" t="s">
        <v>485</v>
      </c>
      <c r="B4" s="509"/>
      <c r="C4" s="510"/>
      <c r="D4" s="509"/>
    </row>
    <row r="5" spans="1:4" ht="18" customHeight="1">
      <c r="A5" s="511" t="s">
        <v>458</v>
      </c>
      <c r="B5" s="512">
        <v>94.9</v>
      </c>
      <c r="C5" s="513">
        <v>-0.8</v>
      </c>
      <c r="D5" s="514" t="s">
        <v>459</v>
      </c>
    </row>
    <row r="6" spans="1:4" ht="18" customHeight="1">
      <c r="A6" s="511" t="s">
        <v>460</v>
      </c>
      <c r="B6" s="512">
        <v>102.2</v>
      </c>
      <c r="C6" s="513">
        <v>-4.3</v>
      </c>
      <c r="D6" s="515">
        <v>9</v>
      </c>
    </row>
    <row r="7" spans="1:4" ht="18" customHeight="1">
      <c r="A7" s="516" t="s">
        <v>461</v>
      </c>
      <c r="B7" s="512">
        <v>100.7</v>
      </c>
      <c r="C7" s="513">
        <v>0.8</v>
      </c>
      <c r="D7" s="515">
        <v>3</v>
      </c>
    </row>
    <row r="8" spans="1:4" ht="18" customHeight="1">
      <c r="A8" s="517" t="s">
        <v>462</v>
      </c>
      <c r="B8" s="512">
        <v>99.3</v>
      </c>
      <c r="C8" s="513">
        <v>3.8</v>
      </c>
      <c r="D8" s="515">
        <v>2</v>
      </c>
    </row>
    <row r="9" spans="1:4" ht="18" customHeight="1">
      <c r="A9" s="516" t="s">
        <v>463</v>
      </c>
      <c r="B9" s="512">
        <v>85.3</v>
      </c>
      <c r="C9" s="513">
        <v>-10.3</v>
      </c>
      <c r="D9" s="515">
        <v>10</v>
      </c>
    </row>
    <row r="10" spans="1:4" ht="18" customHeight="1">
      <c r="A10" s="516" t="s">
        <v>465</v>
      </c>
      <c r="B10" s="512">
        <v>98.9</v>
      </c>
      <c r="C10" s="513">
        <v>0.1</v>
      </c>
      <c r="D10" s="515">
        <v>6</v>
      </c>
    </row>
    <row r="11" spans="1:4" ht="18" customHeight="1">
      <c r="A11" s="518" t="s">
        <v>466</v>
      </c>
      <c r="B11" s="512">
        <v>72.7</v>
      </c>
      <c r="C11" s="513">
        <v>12</v>
      </c>
      <c r="D11" s="515">
        <v>1</v>
      </c>
    </row>
    <row r="12" spans="1:4" ht="18" customHeight="1">
      <c r="A12" s="518" t="s">
        <v>467</v>
      </c>
      <c r="B12" s="512">
        <v>79.400000000000006</v>
      </c>
      <c r="C12" s="513">
        <v>-3.1</v>
      </c>
      <c r="D12" s="515">
        <v>8</v>
      </c>
    </row>
    <row r="13" spans="1:4" ht="18" customHeight="1">
      <c r="A13" s="518" t="s">
        <v>468</v>
      </c>
      <c r="B13" s="512">
        <v>90.1</v>
      </c>
      <c r="C13" s="513">
        <v>0.7</v>
      </c>
      <c r="D13" s="515">
        <v>4</v>
      </c>
    </row>
    <row r="14" spans="1:4" ht="18" customHeight="1">
      <c r="A14" s="518" t="s">
        <v>469</v>
      </c>
      <c r="B14" s="512">
        <v>96.9</v>
      </c>
      <c r="C14" s="513">
        <v>0.2</v>
      </c>
      <c r="D14" s="515">
        <v>5</v>
      </c>
    </row>
    <row r="15" spans="1:4" ht="18" customHeight="1">
      <c r="A15" s="516" t="s">
        <v>480</v>
      </c>
      <c r="B15" s="512">
        <v>91.8</v>
      </c>
      <c r="C15" s="513">
        <v>-1.2</v>
      </c>
      <c r="D15" s="515">
        <v>7</v>
      </c>
    </row>
    <row r="16" spans="1:4" ht="18" customHeight="1">
      <c r="A16" s="519" t="s">
        <v>486</v>
      </c>
      <c r="B16" s="520"/>
      <c r="C16" s="513"/>
      <c r="D16" s="515"/>
    </row>
    <row r="17" spans="1:4" ht="18" customHeight="1">
      <c r="A17" s="511" t="s">
        <v>458</v>
      </c>
      <c r="B17" s="521">
        <v>22.2531</v>
      </c>
      <c r="C17" s="513">
        <v>-8.1</v>
      </c>
      <c r="D17" s="514" t="s">
        <v>459</v>
      </c>
    </row>
    <row r="18" spans="1:4" ht="18" customHeight="1">
      <c r="A18" s="511" t="s">
        <v>460</v>
      </c>
      <c r="B18" s="521">
        <v>0.99770000000000003</v>
      </c>
      <c r="C18" s="513">
        <v>-59.1</v>
      </c>
      <c r="D18" s="515">
        <v>9</v>
      </c>
    </row>
    <row r="19" spans="1:4" ht="18" customHeight="1">
      <c r="A19" s="516" t="s">
        <v>461</v>
      </c>
      <c r="B19" s="521">
        <v>3.2545000000000002</v>
      </c>
      <c r="C19" s="513">
        <v>-23.2</v>
      </c>
      <c r="D19" s="515">
        <v>6</v>
      </c>
    </row>
    <row r="20" spans="1:4" ht="18" customHeight="1">
      <c r="A20" s="517" t="s">
        <v>462</v>
      </c>
      <c r="B20" s="521">
        <v>3.5034000000000001</v>
      </c>
      <c r="C20" s="513">
        <v>59.1</v>
      </c>
      <c r="D20" s="515">
        <v>2</v>
      </c>
    </row>
    <row r="21" spans="1:4" ht="18" customHeight="1">
      <c r="A21" s="516" t="s">
        <v>463</v>
      </c>
      <c r="B21" s="521">
        <v>1.2426999999999999</v>
      </c>
      <c r="C21" s="513">
        <v>-51.8</v>
      </c>
      <c r="D21" s="515">
        <v>8</v>
      </c>
    </row>
    <row r="22" spans="1:4" ht="18" customHeight="1">
      <c r="A22" s="516" t="s">
        <v>465</v>
      </c>
      <c r="B22" s="521">
        <v>0.21840000000000001</v>
      </c>
      <c r="C22" s="513">
        <v>-72.099999999999994</v>
      </c>
      <c r="D22" s="515">
        <v>10</v>
      </c>
    </row>
    <row r="23" spans="1:4">
      <c r="A23" s="516" t="s">
        <v>466</v>
      </c>
      <c r="B23" s="521">
        <v>0.1182</v>
      </c>
      <c r="C23" s="513">
        <v>913</v>
      </c>
      <c r="D23" s="515">
        <v>1</v>
      </c>
    </row>
    <row r="24" spans="1:4">
      <c r="A24" s="518" t="s">
        <v>467</v>
      </c>
      <c r="B24" s="521">
        <v>0.83150000000000002</v>
      </c>
      <c r="C24" s="513">
        <v>22</v>
      </c>
      <c r="D24" s="515">
        <v>4</v>
      </c>
    </row>
    <row r="25" spans="1:4">
      <c r="A25" s="518" t="s">
        <v>468</v>
      </c>
      <c r="B25" s="521">
        <v>2.7254</v>
      </c>
      <c r="C25" s="513">
        <v>-27.2</v>
      </c>
      <c r="D25" s="515">
        <v>7</v>
      </c>
    </row>
    <row r="26" spans="1:4">
      <c r="A26" s="518" t="s">
        <v>469</v>
      </c>
      <c r="B26" s="521">
        <v>6.8167</v>
      </c>
      <c r="C26" s="513">
        <v>23.1</v>
      </c>
      <c r="D26" s="515">
        <v>3</v>
      </c>
    </row>
    <row r="27" spans="1:4">
      <c r="A27" s="518" t="s">
        <v>480</v>
      </c>
      <c r="B27" s="521">
        <v>4.5328999999999997</v>
      </c>
      <c r="C27" s="513">
        <v>-5</v>
      </c>
      <c r="D27" s="515">
        <v>5</v>
      </c>
    </row>
    <row r="28" spans="1:4">
      <c r="A28" s="200"/>
      <c r="B28" s="200"/>
      <c r="C28" s="200"/>
    </row>
    <row r="29" spans="1:4">
      <c r="A29" s="200"/>
      <c r="B29" s="200"/>
      <c r="C29" s="200"/>
    </row>
    <row r="30" spans="1:4">
      <c r="A30" s="200"/>
      <c r="B30" s="200"/>
      <c r="C30" s="200"/>
    </row>
    <row r="31" spans="1:4">
      <c r="A31" s="522"/>
      <c r="B31" s="522"/>
      <c r="C31" s="522"/>
    </row>
    <row r="32" spans="1:4">
      <c r="A32" s="352"/>
      <c r="B32" s="352"/>
      <c r="C32" s="352"/>
    </row>
    <row r="33" spans="1:3">
      <c r="A33" s="352"/>
      <c r="B33" s="352"/>
      <c r="C33" s="352"/>
    </row>
    <row r="34" spans="1:3">
      <c r="A34" s="352"/>
      <c r="B34" s="352"/>
      <c r="C34" s="352"/>
    </row>
    <row r="35" spans="1:3">
      <c r="A35" s="352"/>
      <c r="B35" s="352"/>
      <c r="C35" s="352"/>
    </row>
    <row r="36" spans="1:3">
      <c r="A36" s="352"/>
      <c r="B36" s="352"/>
      <c r="C36" s="352"/>
    </row>
    <row r="37" spans="1:3">
      <c r="A37" s="523"/>
      <c r="B37" s="523"/>
      <c r="C37" s="523"/>
    </row>
    <row r="38" spans="1:3">
      <c r="A38" s="200"/>
      <c r="B38" s="200"/>
      <c r="C38" s="200"/>
    </row>
  </sheetData>
  <sheetProtection password="DC9E" sheet="1" objects="1" scenarios="1"/>
  <mergeCells count="2">
    <mergeCell ref="A1:D1"/>
    <mergeCell ref="C2:D2"/>
  </mergeCells>
  <phoneticPr fontId="11" type="noConversion"/>
  <pageMargins left="0.75" right="0.75" top="0.58888888888888902" bottom="0.58888888888888902" header="0.50902777777777797" footer="0.50902777777777797"/>
  <pageSetup paperSize="9" scale="95" orientation="portrait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5"/>
  </sheetPr>
  <dimension ref="A1:D44"/>
  <sheetViews>
    <sheetView zoomScale="90" zoomScaleNormal="90" workbookViewId="0">
      <selection sqref="A1:XFD1048576"/>
    </sheetView>
  </sheetViews>
  <sheetFormatPr defaultColWidth="9" defaultRowHeight="14.25"/>
  <cols>
    <col min="1" max="1" width="42.125" style="43" customWidth="1"/>
    <col min="2" max="2" width="10.875" style="482" customWidth="1"/>
    <col min="3" max="3" width="13.125" style="483" customWidth="1"/>
    <col min="4" max="4" width="13.125" style="482" customWidth="1"/>
    <col min="5" max="16384" width="9" style="482"/>
  </cols>
  <sheetData>
    <row r="1" spans="1:4" ht="34.5" customHeight="1">
      <c r="A1" s="1121" t="s">
        <v>487</v>
      </c>
      <c r="B1" s="1121"/>
      <c r="C1" s="1121"/>
      <c r="D1" s="1121"/>
    </row>
    <row r="2" spans="1:4" ht="20.25" customHeight="1">
      <c r="A2" s="484"/>
      <c r="B2" s="484"/>
      <c r="C2" s="1122"/>
      <c r="D2" s="1122"/>
    </row>
    <row r="3" spans="1:4" ht="28.5" customHeight="1">
      <c r="A3" s="485" t="s">
        <v>455</v>
      </c>
      <c r="B3" s="334" t="s">
        <v>34</v>
      </c>
      <c r="C3" s="486" t="s">
        <v>5</v>
      </c>
      <c r="D3" s="334" t="s">
        <v>456</v>
      </c>
    </row>
    <row r="4" spans="1:4" ht="18" customHeight="1">
      <c r="A4" s="487" t="s">
        <v>488</v>
      </c>
      <c r="B4" s="488"/>
      <c r="C4" s="489"/>
      <c r="D4" s="490"/>
    </row>
    <row r="5" spans="1:4" ht="18" customHeight="1">
      <c r="A5" s="491" t="s">
        <v>458</v>
      </c>
      <c r="B5" s="488">
        <v>514.77</v>
      </c>
      <c r="C5" s="492">
        <v>89.2</v>
      </c>
      <c r="D5" s="493" t="s">
        <v>459</v>
      </c>
    </row>
    <row r="6" spans="1:4" ht="18" customHeight="1">
      <c r="A6" s="491" t="s">
        <v>460</v>
      </c>
      <c r="B6" s="488">
        <v>500.09</v>
      </c>
      <c r="C6" s="492">
        <v>88.9</v>
      </c>
      <c r="D6" s="494">
        <v>3</v>
      </c>
    </row>
    <row r="7" spans="1:4" ht="18" customHeight="1">
      <c r="A7" s="495" t="s">
        <v>461</v>
      </c>
      <c r="B7" s="488">
        <v>881.57</v>
      </c>
      <c r="C7" s="492">
        <v>68.900000000000006</v>
      </c>
      <c r="D7" s="494">
        <v>4</v>
      </c>
    </row>
    <row r="8" spans="1:4" ht="18" customHeight="1">
      <c r="A8" s="496" t="s">
        <v>462</v>
      </c>
      <c r="B8" s="488">
        <v>1785.98</v>
      </c>
      <c r="C8" s="492">
        <v>496.6</v>
      </c>
      <c r="D8" s="494">
        <v>1</v>
      </c>
    </row>
    <row r="9" spans="1:4" ht="18" customHeight="1">
      <c r="A9" s="495" t="s">
        <v>463</v>
      </c>
      <c r="B9" s="488">
        <v>316.44</v>
      </c>
      <c r="C9" s="492">
        <v>64.5</v>
      </c>
      <c r="D9" s="494">
        <v>5</v>
      </c>
    </row>
    <row r="10" spans="1:4" ht="18" customHeight="1">
      <c r="A10" s="495" t="s">
        <v>465</v>
      </c>
      <c r="B10" s="488">
        <v>300.44</v>
      </c>
      <c r="C10" s="492">
        <v>0.5</v>
      </c>
      <c r="D10" s="494">
        <v>9</v>
      </c>
    </row>
    <row r="11" spans="1:4" ht="18" customHeight="1">
      <c r="A11" s="495" t="s">
        <v>466</v>
      </c>
      <c r="B11" s="488">
        <v>328.45</v>
      </c>
      <c r="C11" s="492">
        <v>49.4</v>
      </c>
      <c r="D11" s="494">
        <v>6</v>
      </c>
    </row>
    <row r="12" spans="1:4" ht="18" customHeight="1">
      <c r="A12" s="497" t="s">
        <v>467</v>
      </c>
      <c r="B12" s="488">
        <v>57.15</v>
      </c>
      <c r="C12" s="492">
        <v>-27.8</v>
      </c>
      <c r="D12" s="494">
        <v>10</v>
      </c>
    </row>
    <row r="13" spans="1:4" ht="18" customHeight="1">
      <c r="A13" s="497" t="s">
        <v>468</v>
      </c>
      <c r="B13" s="488">
        <v>195.14</v>
      </c>
      <c r="C13" s="492">
        <v>31.4</v>
      </c>
      <c r="D13" s="494">
        <v>7</v>
      </c>
    </row>
    <row r="14" spans="1:4" ht="18" customHeight="1">
      <c r="A14" s="497" t="s">
        <v>469</v>
      </c>
      <c r="B14" s="488">
        <v>306.04000000000002</v>
      </c>
      <c r="C14" s="492">
        <v>1.5</v>
      </c>
      <c r="D14" s="494">
        <v>8</v>
      </c>
    </row>
    <row r="15" spans="1:4" ht="18" customHeight="1">
      <c r="A15" s="498" t="s">
        <v>480</v>
      </c>
      <c r="B15" s="488">
        <v>608.35</v>
      </c>
      <c r="C15" s="492">
        <v>105.5</v>
      </c>
      <c r="D15" s="494">
        <v>2</v>
      </c>
    </row>
    <row r="16" spans="1:4" ht="18" customHeight="1">
      <c r="A16" s="499" t="s">
        <v>489</v>
      </c>
      <c r="B16" s="500"/>
      <c r="C16" s="501"/>
      <c r="D16" s="500"/>
    </row>
    <row r="17" spans="1:4" ht="18" customHeight="1">
      <c r="A17" s="491" t="s">
        <v>458</v>
      </c>
      <c r="B17" s="502">
        <v>891</v>
      </c>
      <c r="C17" s="492">
        <v>1.8</v>
      </c>
      <c r="D17" s="493" t="s">
        <v>459</v>
      </c>
    </row>
    <row r="18" spans="1:4" ht="18" customHeight="1">
      <c r="A18" s="491" t="s">
        <v>460</v>
      </c>
      <c r="B18" s="502">
        <v>32</v>
      </c>
      <c r="C18" s="492">
        <v>-13.5</v>
      </c>
      <c r="D18" s="493" t="s">
        <v>459</v>
      </c>
    </row>
    <row r="19" spans="1:4" ht="18" customHeight="1">
      <c r="A19" s="495" t="s">
        <v>461</v>
      </c>
      <c r="B19" s="502">
        <v>59</v>
      </c>
      <c r="C19" s="492">
        <v>-1.7</v>
      </c>
      <c r="D19" s="493" t="s">
        <v>459</v>
      </c>
    </row>
    <row r="20" spans="1:4" ht="18" customHeight="1">
      <c r="A20" s="496" t="s">
        <v>462</v>
      </c>
      <c r="B20" s="502">
        <v>64</v>
      </c>
      <c r="C20" s="492">
        <v>4.9000000000000004</v>
      </c>
      <c r="D20" s="493" t="s">
        <v>459</v>
      </c>
    </row>
    <row r="21" spans="1:4" ht="18" customHeight="1">
      <c r="A21" s="495" t="s">
        <v>463</v>
      </c>
      <c r="B21" s="502">
        <v>69</v>
      </c>
      <c r="C21" s="492">
        <v>1.5</v>
      </c>
      <c r="D21" s="493" t="s">
        <v>459</v>
      </c>
    </row>
    <row r="22" spans="1:4" ht="18" customHeight="1">
      <c r="A22" s="495" t="s">
        <v>465</v>
      </c>
      <c r="B22" s="502">
        <v>137</v>
      </c>
      <c r="C22" s="492">
        <v>-5.5</v>
      </c>
      <c r="D22" s="493" t="s">
        <v>459</v>
      </c>
    </row>
    <row r="23" spans="1:4" ht="18" customHeight="1">
      <c r="A23" s="495" t="s">
        <v>466</v>
      </c>
      <c r="B23" s="502">
        <v>29</v>
      </c>
      <c r="C23" s="492">
        <v>-12.1</v>
      </c>
      <c r="D23" s="493" t="s">
        <v>459</v>
      </c>
    </row>
    <row r="24" spans="1:4" ht="18" customHeight="1">
      <c r="A24" s="497" t="s">
        <v>467</v>
      </c>
      <c r="B24" s="502">
        <v>64</v>
      </c>
      <c r="C24" s="492">
        <v>1.6</v>
      </c>
      <c r="D24" s="493" t="s">
        <v>459</v>
      </c>
    </row>
    <row r="25" spans="1:4" ht="18" customHeight="1">
      <c r="A25" s="497" t="s">
        <v>468</v>
      </c>
      <c r="B25" s="502">
        <v>130</v>
      </c>
      <c r="C25" s="492">
        <v>8.3000000000000007</v>
      </c>
      <c r="D25" s="493" t="s">
        <v>459</v>
      </c>
    </row>
    <row r="26" spans="1:4" ht="18" customHeight="1">
      <c r="A26" s="497" t="s">
        <v>469</v>
      </c>
      <c r="B26" s="502">
        <v>272</v>
      </c>
      <c r="C26" s="492">
        <v>0.4</v>
      </c>
      <c r="D26" s="493" t="s">
        <v>459</v>
      </c>
    </row>
    <row r="27" spans="1:4" ht="18" customHeight="1">
      <c r="A27" s="497" t="s">
        <v>480</v>
      </c>
      <c r="B27" s="502">
        <v>56</v>
      </c>
      <c r="C27" s="492">
        <v>1.8</v>
      </c>
      <c r="D27" s="493" t="s">
        <v>459</v>
      </c>
    </row>
    <row r="28" spans="1:4">
      <c r="A28" s="1123"/>
      <c r="B28" s="1123"/>
      <c r="C28" s="1123"/>
      <c r="D28" s="1123"/>
    </row>
    <row r="34" spans="1:1">
      <c r="A34" s="349"/>
    </row>
    <row r="35" spans="1:1">
      <c r="A35" s="349"/>
    </row>
    <row r="36" spans="1:1">
      <c r="A36" s="349"/>
    </row>
    <row r="37" spans="1:1">
      <c r="A37" s="350"/>
    </row>
    <row r="38" spans="1:1">
      <c r="A38" s="351"/>
    </row>
    <row r="39" spans="1:1">
      <c r="A39" s="351"/>
    </row>
    <row r="40" spans="1:1">
      <c r="A40" s="351"/>
    </row>
    <row r="41" spans="1:1">
      <c r="A41" s="351"/>
    </row>
    <row r="42" spans="1:1">
      <c r="A42" s="352"/>
    </row>
    <row r="43" spans="1:1">
      <c r="A43" s="50"/>
    </row>
    <row r="44" spans="1:1">
      <c r="A44" s="349"/>
    </row>
  </sheetData>
  <sheetProtection password="DC9E" sheet="1" objects="1" scenarios="1"/>
  <mergeCells count="3">
    <mergeCell ref="A1:D1"/>
    <mergeCell ref="C2:D2"/>
    <mergeCell ref="A28:D28"/>
  </mergeCells>
  <phoneticPr fontId="11" type="noConversion"/>
  <printOptions horizontalCentered="1"/>
  <pageMargins left="0.75" right="0.75" top="0.38888888888888901" bottom="0.38888888888888901" header="0.50902777777777797" footer="0.50902777777777797"/>
  <pageSetup paperSize="9" orientation="portrait"/>
  <headerFooter scaleWithDoc="0"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5"/>
  </sheetPr>
  <dimension ref="A1:D44"/>
  <sheetViews>
    <sheetView zoomScale="80" zoomScaleNormal="80" workbookViewId="0">
      <selection sqref="A1:XFD1048576"/>
    </sheetView>
  </sheetViews>
  <sheetFormatPr defaultColWidth="9" defaultRowHeight="14.25"/>
  <cols>
    <col min="1" max="1" width="41.5" style="252" customWidth="1"/>
    <col min="2" max="2" width="11.25" style="253" customWidth="1"/>
    <col min="3" max="3" width="13.125" style="302" customWidth="1"/>
    <col min="4" max="4" width="13.125" style="253" customWidth="1"/>
    <col min="5" max="16384" width="9" style="253"/>
  </cols>
  <sheetData>
    <row r="1" spans="1:4" ht="34.5" customHeight="1">
      <c r="A1" s="1124" t="s">
        <v>490</v>
      </c>
      <c r="B1" s="1124"/>
      <c r="C1" s="1124"/>
      <c r="D1" s="1124"/>
    </row>
    <row r="2" spans="1:4" ht="20.25" customHeight="1">
      <c r="A2" s="464"/>
      <c r="B2" s="464"/>
      <c r="C2" s="1125"/>
      <c r="D2" s="1125"/>
    </row>
    <row r="3" spans="1:4" ht="28.5" customHeight="1">
      <c r="A3" s="465" t="s">
        <v>455</v>
      </c>
      <c r="B3" s="372" t="s">
        <v>34</v>
      </c>
      <c r="C3" s="466" t="s">
        <v>5</v>
      </c>
      <c r="D3" s="467" t="s">
        <v>456</v>
      </c>
    </row>
    <row r="4" spans="1:4" ht="36" customHeight="1">
      <c r="A4" s="468" t="s">
        <v>491</v>
      </c>
      <c r="B4" s="469"/>
      <c r="C4" s="470"/>
      <c r="D4" s="471"/>
    </row>
    <row r="5" spans="1:4" ht="18" customHeight="1">
      <c r="A5" s="472" t="s">
        <v>458</v>
      </c>
      <c r="B5" s="473">
        <v>132</v>
      </c>
      <c r="C5" s="474">
        <v>5.6</v>
      </c>
      <c r="D5" s="475" t="s">
        <v>459</v>
      </c>
    </row>
    <row r="6" spans="1:4" ht="18" customHeight="1">
      <c r="A6" s="472" t="s">
        <v>460</v>
      </c>
      <c r="B6" s="473">
        <v>6</v>
      </c>
      <c r="C6" s="474">
        <v>-40</v>
      </c>
      <c r="D6" s="476">
        <v>9</v>
      </c>
    </row>
    <row r="7" spans="1:4" ht="18" customHeight="1">
      <c r="A7" s="477" t="s">
        <v>461</v>
      </c>
      <c r="B7" s="473">
        <v>14</v>
      </c>
      <c r="C7" s="474">
        <v>-6.7</v>
      </c>
      <c r="D7" s="476">
        <v>6</v>
      </c>
    </row>
    <row r="8" spans="1:4" ht="18" customHeight="1">
      <c r="A8" s="478" t="s">
        <v>462</v>
      </c>
      <c r="B8" s="473">
        <v>13</v>
      </c>
      <c r="C8" s="474">
        <v>85.7</v>
      </c>
      <c r="D8" s="476">
        <v>1</v>
      </c>
    </row>
    <row r="9" spans="1:4" ht="18" customHeight="1">
      <c r="A9" s="477" t="s">
        <v>463</v>
      </c>
      <c r="B9" s="473">
        <v>21</v>
      </c>
      <c r="C9" s="474">
        <v>10.5</v>
      </c>
      <c r="D9" s="476">
        <v>4</v>
      </c>
    </row>
    <row r="10" spans="1:4" ht="18" customHeight="1">
      <c r="A10" s="477" t="s">
        <v>465</v>
      </c>
      <c r="B10" s="473">
        <v>0</v>
      </c>
      <c r="C10" s="474">
        <v>0</v>
      </c>
      <c r="D10" s="479" t="s">
        <v>8</v>
      </c>
    </row>
    <row r="11" spans="1:4" ht="18" customHeight="1">
      <c r="A11" s="477" t="s">
        <v>466</v>
      </c>
      <c r="B11" s="473">
        <v>7</v>
      </c>
      <c r="C11" s="474">
        <v>-36.4</v>
      </c>
      <c r="D11" s="476">
        <v>8</v>
      </c>
    </row>
    <row r="12" spans="1:4" ht="18" customHeight="1">
      <c r="A12" s="477" t="s">
        <v>467</v>
      </c>
      <c r="B12" s="473">
        <v>15</v>
      </c>
      <c r="C12" s="474">
        <v>-6.3</v>
      </c>
      <c r="D12" s="476">
        <v>5</v>
      </c>
    </row>
    <row r="13" spans="1:4" ht="18" customHeight="1">
      <c r="A13" s="477" t="s">
        <v>468</v>
      </c>
      <c r="B13" s="473">
        <v>37</v>
      </c>
      <c r="C13" s="474">
        <v>15.6</v>
      </c>
      <c r="D13" s="476">
        <v>3</v>
      </c>
    </row>
    <row r="14" spans="1:4" ht="18" customHeight="1">
      <c r="A14" s="477" t="s">
        <v>469</v>
      </c>
      <c r="B14" s="473">
        <v>14</v>
      </c>
      <c r="C14" s="474">
        <v>40</v>
      </c>
      <c r="D14" s="476">
        <v>2</v>
      </c>
    </row>
    <row r="15" spans="1:4" ht="18" customHeight="1">
      <c r="A15" s="477" t="s">
        <v>480</v>
      </c>
      <c r="B15" s="473">
        <v>12</v>
      </c>
      <c r="C15" s="474">
        <v>-20</v>
      </c>
      <c r="D15" s="476">
        <v>7</v>
      </c>
    </row>
    <row r="16" spans="1:4" ht="18" customHeight="1">
      <c r="A16" s="468" t="s">
        <v>492</v>
      </c>
      <c r="B16" s="473"/>
      <c r="C16" s="474"/>
      <c r="D16" s="471"/>
    </row>
    <row r="17" spans="1:4" ht="18" customHeight="1">
      <c r="A17" s="472" t="s">
        <v>458</v>
      </c>
      <c r="B17" s="480">
        <v>2392.7390999999998</v>
      </c>
      <c r="C17" s="474">
        <v>7</v>
      </c>
      <c r="D17" s="475" t="s">
        <v>459</v>
      </c>
    </row>
    <row r="18" spans="1:4" ht="18" customHeight="1">
      <c r="A18" s="472" t="s">
        <v>460</v>
      </c>
      <c r="B18" s="480">
        <v>75.186899999999994</v>
      </c>
      <c r="C18" s="474">
        <v>6</v>
      </c>
      <c r="D18" s="471">
        <v>7</v>
      </c>
    </row>
    <row r="19" spans="1:4" ht="18" customHeight="1">
      <c r="A19" s="477" t="s">
        <v>461</v>
      </c>
      <c r="B19" s="480">
        <v>613.08969999999999</v>
      </c>
      <c r="C19" s="474">
        <v>8.6999999999999993</v>
      </c>
      <c r="D19" s="471">
        <v>6</v>
      </c>
    </row>
    <row r="20" spans="1:4" ht="18" customHeight="1">
      <c r="A20" s="478" t="s">
        <v>462</v>
      </c>
      <c r="B20" s="480">
        <v>274.3082</v>
      </c>
      <c r="C20" s="474">
        <v>23.2</v>
      </c>
      <c r="D20" s="471">
        <v>2</v>
      </c>
    </row>
    <row r="21" spans="1:4" ht="18" customHeight="1">
      <c r="A21" s="477" t="s">
        <v>463</v>
      </c>
      <c r="B21" s="480">
        <v>204.29519999999999</v>
      </c>
      <c r="C21" s="474">
        <v>18.2</v>
      </c>
      <c r="D21" s="471">
        <v>5</v>
      </c>
    </row>
    <row r="22" spans="1:4" ht="18" customHeight="1">
      <c r="A22" s="477" t="s">
        <v>465</v>
      </c>
      <c r="B22" s="480">
        <v>135.75970000000001</v>
      </c>
      <c r="C22" s="474">
        <v>-26.7</v>
      </c>
      <c r="D22" s="471">
        <v>10</v>
      </c>
    </row>
    <row r="23" spans="1:4" ht="18" customHeight="1">
      <c r="A23" s="477" t="s">
        <v>466</v>
      </c>
      <c r="B23" s="480">
        <v>26.2668</v>
      </c>
      <c r="C23" s="474">
        <v>30.9</v>
      </c>
      <c r="D23" s="471">
        <v>1</v>
      </c>
    </row>
    <row r="24" spans="1:4" ht="18" customHeight="1">
      <c r="A24" s="477" t="s">
        <v>467</v>
      </c>
      <c r="B24" s="480">
        <v>62.216999999999999</v>
      </c>
      <c r="C24" s="474">
        <v>-6.2</v>
      </c>
      <c r="D24" s="471">
        <v>8</v>
      </c>
    </row>
    <row r="25" spans="1:4" ht="18" customHeight="1">
      <c r="A25" s="477" t="s">
        <v>468</v>
      </c>
      <c r="B25" s="480">
        <v>169.09190000000001</v>
      </c>
      <c r="C25" s="474">
        <v>22.6</v>
      </c>
      <c r="D25" s="471">
        <v>3</v>
      </c>
    </row>
    <row r="26" spans="1:4" ht="18" customHeight="1">
      <c r="A26" s="477" t="s">
        <v>469</v>
      </c>
      <c r="B26" s="480">
        <v>345.2747</v>
      </c>
      <c r="C26" s="474">
        <v>-8.8000000000000007</v>
      </c>
      <c r="D26" s="471">
        <v>9</v>
      </c>
    </row>
    <row r="27" spans="1:4" ht="18" customHeight="1">
      <c r="A27" s="481" t="s">
        <v>480</v>
      </c>
      <c r="B27" s="480">
        <v>708.44560000000001</v>
      </c>
      <c r="C27" s="474">
        <v>19.3</v>
      </c>
      <c r="D27" s="471">
        <v>4</v>
      </c>
    </row>
    <row r="28" spans="1:4">
      <c r="A28" s="1126"/>
      <c r="B28" s="1126"/>
      <c r="C28" s="1126"/>
      <c r="D28" s="1126"/>
    </row>
    <row r="34" spans="1:1">
      <c r="A34" s="328"/>
    </row>
    <row r="35" spans="1:1">
      <c r="A35" s="328"/>
    </row>
    <row r="36" spans="1:1">
      <c r="A36" s="328"/>
    </row>
    <row r="37" spans="1:1">
      <c r="A37" s="329"/>
    </row>
    <row r="38" spans="1:1">
      <c r="A38" s="330"/>
    </row>
    <row r="39" spans="1:1">
      <c r="A39" s="330"/>
    </row>
    <row r="40" spans="1:1">
      <c r="A40" s="330"/>
    </row>
    <row r="41" spans="1:1">
      <c r="A41" s="330"/>
    </row>
    <row r="42" spans="1:1">
      <c r="A42" s="330"/>
    </row>
    <row r="43" spans="1:1">
      <c r="A43" s="309"/>
    </row>
    <row r="44" spans="1:1">
      <c r="A44" s="328"/>
    </row>
  </sheetData>
  <sheetProtection password="DC9E" sheet="1" objects="1" scenarios="1"/>
  <mergeCells count="3">
    <mergeCell ref="A1:D1"/>
    <mergeCell ref="C2:D2"/>
    <mergeCell ref="A28:D28"/>
  </mergeCells>
  <phoneticPr fontId="11" type="noConversion"/>
  <pageMargins left="0.75" right="0.75" top="0.58888888888888902" bottom="0.58888888888888902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/>
  </sheetPr>
  <dimension ref="A1:D25"/>
  <sheetViews>
    <sheetView zoomScale="80" zoomScaleNormal="80" workbookViewId="0">
      <selection activeCell="F22" sqref="F22"/>
    </sheetView>
  </sheetViews>
  <sheetFormatPr defaultColWidth="9" defaultRowHeight="14.25"/>
  <cols>
    <col min="1" max="1" width="28" customWidth="1"/>
    <col min="2" max="4" width="9.125" customWidth="1"/>
  </cols>
  <sheetData>
    <row r="1" spans="1:4" ht="22.5">
      <c r="A1" s="1051" t="s">
        <v>0</v>
      </c>
      <c r="B1" s="1051"/>
      <c r="C1" s="1051"/>
      <c r="D1" s="1051"/>
    </row>
    <row r="2" spans="1:4">
      <c r="A2" s="1054" t="s">
        <v>1</v>
      </c>
      <c r="B2" s="1055" t="s">
        <v>2</v>
      </c>
      <c r="C2" s="1052" t="s">
        <v>34</v>
      </c>
      <c r="D2" s="1053"/>
    </row>
    <row r="3" spans="1:4">
      <c r="A3" s="1054"/>
      <c r="B3" s="1056"/>
      <c r="C3" s="1011" t="s">
        <v>4</v>
      </c>
      <c r="D3" s="1011" t="s">
        <v>5</v>
      </c>
    </row>
    <row r="4" spans="1:4" ht="27.95" customHeight="1">
      <c r="A4" s="1012" t="s">
        <v>6</v>
      </c>
      <c r="B4" s="1013" t="s">
        <v>7</v>
      </c>
      <c r="C4" s="1013">
        <v>3008.39</v>
      </c>
      <c r="D4" s="1014">
        <v>6</v>
      </c>
    </row>
    <row r="5" spans="1:4" ht="27.95" customHeight="1">
      <c r="A5" s="1012" t="s">
        <v>9</v>
      </c>
      <c r="B5" s="1013" t="s">
        <v>7</v>
      </c>
      <c r="C5" s="1013">
        <v>2372.85</v>
      </c>
      <c r="D5" s="1014">
        <v>5.0999999999999996</v>
      </c>
    </row>
    <row r="6" spans="1:4" ht="27.95" customHeight="1">
      <c r="A6" s="1012" t="s">
        <v>10</v>
      </c>
      <c r="B6" s="1013" t="s">
        <v>7</v>
      </c>
      <c r="C6" s="1013">
        <v>769.97</v>
      </c>
      <c r="D6" s="1014">
        <v>5</v>
      </c>
    </row>
    <row r="7" spans="1:4" ht="27.95" customHeight="1">
      <c r="A7" s="1012" t="s">
        <v>11</v>
      </c>
      <c r="B7" s="1013" t="s">
        <v>7</v>
      </c>
      <c r="C7" s="1013">
        <v>1260.1199999999999</v>
      </c>
      <c r="D7" s="1014">
        <v>12.8</v>
      </c>
    </row>
    <row r="8" spans="1:4" ht="27.95" customHeight="1">
      <c r="A8" s="1012" t="s">
        <v>12</v>
      </c>
      <c r="B8" s="1013" t="s">
        <v>7</v>
      </c>
      <c r="C8" s="1013">
        <v>496.41</v>
      </c>
      <c r="D8" s="1014">
        <v>56.3</v>
      </c>
    </row>
    <row r="9" spans="1:4" ht="27.95" customHeight="1">
      <c r="A9" s="1015" t="s">
        <v>13</v>
      </c>
      <c r="B9" s="1016" t="s">
        <v>14</v>
      </c>
      <c r="C9" s="1016">
        <v>547.35</v>
      </c>
      <c r="D9" s="1017">
        <v>-7.1</v>
      </c>
    </row>
    <row r="10" spans="1:4" ht="27.95" customHeight="1">
      <c r="A10" s="1015" t="s">
        <v>15</v>
      </c>
      <c r="B10" s="1016" t="s">
        <v>7</v>
      </c>
      <c r="C10" s="1016">
        <v>1697.3</v>
      </c>
      <c r="D10" s="1017">
        <v>10.3</v>
      </c>
    </row>
    <row r="11" spans="1:4" ht="27.95" customHeight="1">
      <c r="A11" s="1015" t="s">
        <v>16</v>
      </c>
      <c r="B11" s="1016" t="s">
        <v>7</v>
      </c>
      <c r="C11" s="1016">
        <v>121.83</v>
      </c>
      <c r="D11" s="1017">
        <v>15.4</v>
      </c>
    </row>
    <row r="12" spans="1:4" ht="27.95" customHeight="1">
      <c r="A12" s="1015" t="s">
        <v>17</v>
      </c>
      <c r="B12" s="1016" t="s">
        <v>7</v>
      </c>
      <c r="C12" s="1016">
        <v>477.17</v>
      </c>
      <c r="D12" s="1017">
        <v>11.9</v>
      </c>
    </row>
    <row r="13" spans="1:4" ht="27.95" customHeight="1">
      <c r="A13" s="1015" t="s">
        <v>18</v>
      </c>
      <c r="B13" s="1016" t="s">
        <v>7</v>
      </c>
      <c r="C13" s="1016">
        <v>509.85</v>
      </c>
      <c r="D13" s="1017">
        <v>8.1999999999999993</v>
      </c>
    </row>
    <row r="14" spans="1:4" ht="27.95" customHeight="1">
      <c r="A14" s="1015" t="s">
        <v>35</v>
      </c>
      <c r="B14" s="1016" t="s">
        <v>7</v>
      </c>
      <c r="C14" s="1016">
        <v>377.03</v>
      </c>
      <c r="D14" s="1017">
        <v>9</v>
      </c>
    </row>
    <row r="15" spans="1:4" ht="27.95" customHeight="1">
      <c r="A15" s="1015" t="s">
        <v>20</v>
      </c>
      <c r="B15" s="1016" t="s">
        <v>7</v>
      </c>
      <c r="C15" s="1016">
        <v>205.03</v>
      </c>
      <c r="D15" s="1017">
        <v>-5.5</v>
      </c>
    </row>
    <row r="16" spans="1:4" ht="27.95" customHeight="1">
      <c r="A16" s="1015" t="s">
        <v>21</v>
      </c>
      <c r="B16" s="1016" t="s">
        <v>7</v>
      </c>
      <c r="C16" s="1016">
        <v>172</v>
      </c>
      <c r="D16" s="1017">
        <v>33.5</v>
      </c>
    </row>
    <row r="17" spans="1:4" ht="27.95" customHeight="1">
      <c r="A17" s="1015" t="s">
        <v>22</v>
      </c>
      <c r="B17" s="1016" t="s">
        <v>23</v>
      </c>
      <c r="C17" s="1016">
        <v>8529</v>
      </c>
      <c r="D17" s="1017">
        <v>5.4</v>
      </c>
    </row>
    <row r="18" spans="1:4" ht="27.95" customHeight="1">
      <c r="A18" s="1015" t="s">
        <v>24</v>
      </c>
      <c r="B18" s="1016" t="s">
        <v>7</v>
      </c>
      <c r="C18" s="1016">
        <v>3343.59</v>
      </c>
      <c r="D18" s="1017">
        <v>9.1999999999999993</v>
      </c>
    </row>
    <row r="19" spans="1:4" ht="27.95" customHeight="1">
      <c r="A19" s="1015" t="s">
        <v>25</v>
      </c>
      <c r="B19" s="1013" t="s">
        <v>7</v>
      </c>
      <c r="C19" s="1013">
        <v>2127.66</v>
      </c>
      <c r="D19" s="1014">
        <v>8.4</v>
      </c>
    </row>
    <row r="20" spans="1:4" ht="27.95" customHeight="1">
      <c r="A20" s="1012" t="s">
        <v>26</v>
      </c>
      <c r="B20" s="1013" t="s">
        <v>7</v>
      </c>
      <c r="C20" s="1013">
        <v>2164.16</v>
      </c>
      <c r="D20" s="1014">
        <v>15.8</v>
      </c>
    </row>
    <row r="21" spans="1:4" ht="27.95" customHeight="1">
      <c r="A21" s="1012" t="s">
        <v>27</v>
      </c>
      <c r="B21" s="1013" t="s">
        <v>28</v>
      </c>
      <c r="C21" s="1013">
        <v>101.6</v>
      </c>
      <c r="D21" s="1014">
        <v>1.6</v>
      </c>
    </row>
    <row r="22" spans="1:4" ht="27.95" customHeight="1">
      <c r="A22" s="1012" t="s">
        <v>29</v>
      </c>
      <c r="B22" s="1013" t="s">
        <v>28</v>
      </c>
      <c r="C22" s="1013">
        <v>103.4</v>
      </c>
      <c r="D22" s="1014">
        <v>3.4</v>
      </c>
    </row>
    <row r="23" spans="1:4" ht="27.95" customHeight="1">
      <c r="A23" s="1012" t="s">
        <v>30</v>
      </c>
      <c r="B23" s="1013" t="s">
        <v>31</v>
      </c>
      <c r="C23" s="1013">
        <v>196.43</v>
      </c>
      <c r="D23" s="1014">
        <v>8.3000000000000007</v>
      </c>
    </row>
    <row r="24" spans="1:4" ht="27.95" customHeight="1">
      <c r="A24" s="1018" t="s">
        <v>32</v>
      </c>
      <c r="B24" s="1019" t="s">
        <v>31</v>
      </c>
      <c r="C24" s="1019">
        <v>119.75</v>
      </c>
      <c r="D24" s="1020">
        <v>6</v>
      </c>
    </row>
    <row r="25" spans="1:4">
      <c r="A25" s="1021" t="s">
        <v>33</v>
      </c>
      <c r="B25" s="1021"/>
      <c r="C25" s="1022"/>
      <c r="D25" s="1022"/>
    </row>
  </sheetData>
  <sheetProtection password="DC9E" sheet="1" objects="1" scenarios="1"/>
  <mergeCells count="4">
    <mergeCell ref="A1:D1"/>
    <mergeCell ref="C2:D2"/>
    <mergeCell ref="A2:A3"/>
    <mergeCell ref="B2:B3"/>
  </mergeCells>
  <phoneticPr fontId="11" type="noConversion"/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5"/>
  </sheetPr>
  <dimension ref="A1:D44"/>
  <sheetViews>
    <sheetView zoomScale="90" zoomScaleNormal="90" workbookViewId="0">
      <selection activeCell="I17" sqref="I17"/>
    </sheetView>
  </sheetViews>
  <sheetFormatPr defaultColWidth="9" defaultRowHeight="14.25"/>
  <cols>
    <col min="1" max="1" width="41.5" style="252" customWidth="1"/>
    <col min="2" max="2" width="11.25" style="253" customWidth="1"/>
    <col min="3" max="3" width="13.125" style="302" customWidth="1"/>
    <col min="4" max="4" width="13.125" style="253" customWidth="1"/>
    <col min="5" max="16384" width="9" style="253"/>
  </cols>
  <sheetData>
    <row r="1" spans="1:4" ht="34.5" customHeight="1">
      <c r="A1" s="1127" t="s">
        <v>493</v>
      </c>
      <c r="B1" s="1127"/>
      <c r="C1" s="1127"/>
      <c r="D1" s="1127"/>
    </row>
    <row r="2" spans="1:4" ht="20.25" customHeight="1">
      <c r="A2" s="444"/>
      <c r="B2" s="444"/>
      <c r="C2" s="444"/>
      <c r="D2" s="445" t="s">
        <v>473</v>
      </c>
    </row>
    <row r="3" spans="1:4" ht="28.5" customHeight="1">
      <c r="A3" s="446" t="s">
        <v>455</v>
      </c>
      <c r="B3" s="372" t="s">
        <v>34</v>
      </c>
      <c r="C3" s="447" t="s">
        <v>5</v>
      </c>
      <c r="D3" s="448" t="s">
        <v>456</v>
      </c>
    </row>
    <row r="4" spans="1:4" ht="18" customHeight="1">
      <c r="A4" s="449" t="s">
        <v>494</v>
      </c>
      <c r="B4" s="450"/>
      <c r="C4" s="451"/>
      <c r="D4" s="450"/>
    </row>
    <row r="5" spans="1:4" ht="18" customHeight="1">
      <c r="A5" s="452" t="s">
        <v>458</v>
      </c>
      <c r="B5" s="453">
        <v>232.6002</v>
      </c>
      <c r="C5" s="454">
        <v>39.700000000000003</v>
      </c>
      <c r="D5" s="455" t="s">
        <v>459</v>
      </c>
    </row>
    <row r="6" spans="1:4" ht="18" customHeight="1">
      <c r="A6" s="452" t="s">
        <v>460</v>
      </c>
      <c r="B6" s="453">
        <v>3.5430999999999999</v>
      </c>
      <c r="C6" s="454">
        <v>49.7</v>
      </c>
      <c r="D6" s="456">
        <v>3</v>
      </c>
    </row>
    <row r="7" spans="1:4" ht="18" customHeight="1">
      <c r="A7" s="457" t="s">
        <v>461</v>
      </c>
      <c r="B7" s="453">
        <v>26.347300000000001</v>
      </c>
      <c r="C7" s="454">
        <v>-16.2</v>
      </c>
      <c r="D7" s="456">
        <v>8</v>
      </c>
    </row>
    <row r="8" spans="1:4" ht="18" customHeight="1">
      <c r="A8" s="458" t="s">
        <v>462</v>
      </c>
      <c r="B8" s="453">
        <v>111.89060000000001</v>
      </c>
      <c r="C8" s="454">
        <v>63.4</v>
      </c>
      <c r="D8" s="456">
        <v>2</v>
      </c>
    </row>
    <row r="9" spans="1:4" ht="18" customHeight="1">
      <c r="A9" s="457" t="s">
        <v>463</v>
      </c>
      <c r="B9" s="453">
        <v>23.119399999999999</v>
      </c>
      <c r="C9" s="454">
        <v>-3.2</v>
      </c>
      <c r="D9" s="456">
        <v>5</v>
      </c>
    </row>
    <row r="10" spans="1:4" ht="18" customHeight="1">
      <c r="A10" s="457" t="s">
        <v>465</v>
      </c>
      <c r="B10" s="453">
        <v>3.4455</v>
      </c>
      <c r="C10" s="454">
        <v>-12.1</v>
      </c>
      <c r="D10" s="456">
        <v>6</v>
      </c>
    </row>
    <row r="11" spans="1:4" ht="18" customHeight="1">
      <c r="A11" s="457" t="s">
        <v>466</v>
      </c>
      <c r="B11" s="453">
        <v>2.5173000000000001</v>
      </c>
      <c r="C11" s="454">
        <v>5.7</v>
      </c>
      <c r="D11" s="456">
        <v>4</v>
      </c>
    </row>
    <row r="12" spans="1:4" ht="18" customHeight="1">
      <c r="A12" s="457" t="s">
        <v>467</v>
      </c>
      <c r="B12" s="453">
        <v>-3.9134000000000002</v>
      </c>
      <c r="C12" s="454">
        <v>-648.79999999999995</v>
      </c>
      <c r="D12" s="456">
        <v>10</v>
      </c>
    </row>
    <row r="13" spans="1:4" ht="18" customHeight="1">
      <c r="A13" s="457" t="s">
        <v>468</v>
      </c>
      <c r="B13" s="453">
        <v>0.72629999999999995</v>
      </c>
      <c r="C13" s="454">
        <v>-240.6</v>
      </c>
      <c r="D13" s="456">
        <v>9</v>
      </c>
    </row>
    <row r="14" spans="1:4" ht="18" customHeight="1">
      <c r="A14" s="457" t="s">
        <v>469</v>
      </c>
      <c r="B14" s="453">
        <v>6.226</v>
      </c>
      <c r="C14" s="454">
        <v>-14.5</v>
      </c>
      <c r="D14" s="456">
        <v>7</v>
      </c>
    </row>
    <row r="15" spans="1:4" ht="18" customHeight="1">
      <c r="A15" s="457" t="s">
        <v>480</v>
      </c>
      <c r="B15" s="453">
        <v>81.937100000000001</v>
      </c>
      <c r="C15" s="454">
        <v>66.599999999999994</v>
      </c>
      <c r="D15" s="456">
        <v>1</v>
      </c>
    </row>
    <row r="16" spans="1:4" ht="22.5" customHeight="1">
      <c r="A16" s="459" t="s">
        <v>495</v>
      </c>
      <c r="B16" s="453"/>
      <c r="C16" s="454"/>
      <c r="D16" s="456"/>
    </row>
    <row r="17" spans="1:4" ht="18" customHeight="1">
      <c r="A17" s="452" t="s">
        <v>458</v>
      </c>
      <c r="B17" s="453">
        <v>20.055</v>
      </c>
      <c r="C17" s="454">
        <v>60</v>
      </c>
      <c r="D17" s="460" t="s">
        <v>459</v>
      </c>
    </row>
    <row r="18" spans="1:4" ht="18" customHeight="1">
      <c r="A18" s="452" t="s">
        <v>460</v>
      </c>
      <c r="B18" s="453">
        <v>2.0432999999999999</v>
      </c>
      <c r="C18" s="454">
        <v>-27.4</v>
      </c>
      <c r="D18" s="461">
        <v>9</v>
      </c>
    </row>
    <row r="19" spans="1:4" ht="18" customHeight="1">
      <c r="A19" s="457" t="s">
        <v>461</v>
      </c>
      <c r="B19" s="453">
        <v>26.347300000000001</v>
      </c>
      <c r="C19" s="454">
        <v>-16.2</v>
      </c>
      <c r="D19" s="461">
        <v>7</v>
      </c>
    </row>
    <row r="20" spans="1:4" ht="18" customHeight="1">
      <c r="A20" s="458" t="s">
        <v>462</v>
      </c>
      <c r="B20" s="453">
        <v>0.7843</v>
      </c>
      <c r="C20" s="454">
        <v>203.5</v>
      </c>
      <c r="D20" s="461">
        <v>3</v>
      </c>
    </row>
    <row r="21" spans="1:4" ht="18" customHeight="1">
      <c r="A21" s="457" t="s">
        <v>463</v>
      </c>
      <c r="B21" s="453">
        <v>0.96220000000000006</v>
      </c>
      <c r="C21" s="454">
        <v>36</v>
      </c>
      <c r="D21" s="461">
        <v>5</v>
      </c>
    </row>
    <row r="22" spans="1:4" ht="18" customHeight="1">
      <c r="A22" s="457" t="s">
        <v>465</v>
      </c>
      <c r="B22" s="453">
        <v>0</v>
      </c>
      <c r="C22" s="462" t="s">
        <v>8</v>
      </c>
      <c r="D22" s="463" t="s">
        <v>8</v>
      </c>
    </row>
    <row r="23" spans="1:4" ht="18" customHeight="1">
      <c r="A23" s="457" t="s">
        <v>466</v>
      </c>
      <c r="B23" s="453">
        <v>0.57240000000000002</v>
      </c>
      <c r="C23" s="454">
        <v>-23.5</v>
      </c>
      <c r="D23" s="461">
        <v>8</v>
      </c>
    </row>
    <row r="24" spans="1:4" ht="18" customHeight="1">
      <c r="A24" s="457" t="s">
        <v>467</v>
      </c>
      <c r="B24" s="453">
        <v>5.6295000000000002</v>
      </c>
      <c r="C24" s="454">
        <v>600.4</v>
      </c>
      <c r="D24" s="461">
        <v>2</v>
      </c>
    </row>
    <row r="25" spans="1:4" ht="18" customHeight="1">
      <c r="A25" s="457" t="s">
        <v>468</v>
      </c>
      <c r="B25" s="453">
        <v>4.7069000000000001</v>
      </c>
      <c r="C25" s="454">
        <v>11.5</v>
      </c>
      <c r="D25" s="461">
        <v>6</v>
      </c>
    </row>
    <row r="26" spans="1:4" ht="18" customHeight="1">
      <c r="A26" s="457" t="s">
        <v>469</v>
      </c>
      <c r="B26" s="453">
        <v>0.96899999999999997</v>
      </c>
      <c r="C26" s="454">
        <v>722.6</v>
      </c>
      <c r="D26" s="461">
        <v>1</v>
      </c>
    </row>
    <row r="27" spans="1:4" ht="18" customHeight="1">
      <c r="A27" s="457" t="s">
        <v>480</v>
      </c>
      <c r="B27" s="453">
        <v>1.6157999999999999</v>
      </c>
      <c r="C27" s="454">
        <v>67.099999999999994</v>
      </c>
      <c r="D27" s="461">
        <v>4</v>
      </c>
    </row>
    <row r="28" spans="1:4">
      <c r="A28" s="1126"/>
      <c r="B28" s="1126"/>
      <c r="C28" s="1126"/>
      <c r="D28" s="1126"/>
    </row>
    <row r="34" spans="1:1">
      <c r="A34" s="328"/>
    </row>
    <row r="35" spans="1:1">
      <c r="A35" s="328"/>
    </row>
    <row r="36" spans="1:1">
      <c r="A36" s="328"/>
    </row>
    <row r="37" spans="1:1">
      <c r="A37" s="329"/>
    </row>
    <row r="38" spans="1:1">
      <c r="A38" s="330"/>
    </row>
    <row r="39" spans="1:1">
      <c r="A39" s="330"/>
    </row>
    <row r="40" spans="1:1">
      <c r="A40" s="330"/>
    </row>
    <row r="41" spans="1:1">
      <c r="A41" s="330"/>
    </row>
    <row r="42" spans="1:1">
      <c r="A42" s="330"/>
    </row>
    <row r="43" spans="1:1">
      <c r="A43" s="309"/>
    </row>
    <row r="44" spans="1:1">
      <c r="A44" s="328"/>
    </row>
  </sheetData>
  <sheetProtection password="DC9E" sheet="1" objects="1" scenarios="1"/>
  <mergeCells count="2">
    <mergeCell ref="A1:D1"/>
    <mergeCell ref="A28:D28"/>
  </mergeCells>
  <phoneticPr fontId="11" type="noConversion"/>
  <pageMargins left="0.75" right="0.75" top="0.58888888888888902" bottom="0.58888888888888902" header="0.50902777777777797" footer="0.50902777777777797"/>
  <pageSetup paperSize="9" orientation="portrait"/>
  <headerFooter scaleWithDoc="0"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5"/>
  </sheetPr>
  <dimension ref="A1:E44"/>
  <sheetViews>
    <sheetView zoomScale="90" zoomScaleNormal="90" workbookViewId="0">
      <selection activeCell="L5" sqref="L5"/>
    </sheetView>
  </sheetViews>
  <sheetFormatPr defaultColWidth="9" defaultRowHeight="14.25"/>
  <cols>
    <col min="1" max="1" width="39" style="43" customWidth="1"/>
    <col min="2" max="2" width="13.125" style="42" customWidth="1"/>
    <col min="3" max="3" width="13.125" style="331" customWidth="1"/>
    <col min="4" max="4" width="13.125" style="42" customWidth="1"/>
    <col min="5" max="5" width="9.75" style="42" customWidth="1"/>
    <col min="6" max="16384" width="9" style="42"/>
  </cols>
  <sheetData>
    <row r="1" spans="1:5" ht="34.5" customHeight="1">
      <c r="A1" s="1128" t="s">
        <v>496</v>
      </c>
      <c r="B1" s="1128"/>
      <c r="C1" s="1128"/>
      <c r="D1" s="1128"/>
    </row>
    <row r="2" spans="1:5" ht="20.25" customHeight="1">
      <c r="A2" s="425"/>
      <c r="B2" s="425"/>
      <c r="C2" s="425"/>
      <c r="D2" s="426" t="s">
        <v>473</v>
      </c>
    </row>
    <row r="3" spans="1:5" ht="28.5" customHeight="1">
      <c r="A3" s="427" t="s">
        <v>455</v>
      </c>
      <c r="B3" s="334" t="s">
        <v>34</v>
      </c>
      <c r="C3" s="428" t="s">
        <v>5</v>
      </c>
      <c r="D3" s="429" t="s">
        <v>456</v>
      </c>
      <c r="E3" s="50"/>
    </row>
    <row r="4" spans="1:5" ht="18" customHeight="1">
      <c r="A4" s="430" t="s">
        <v>497</v>
      </c>
      <c r="B4" s="431"/>
      <c r="C4" s="432"/>
      <c r="D4" s="433"/>
      <c r="E4" s="50"/>
    </row>
    <row r="5" spans="1:5" ht="18" customHeight="1">
      <c r="A5" s="434" t="s">
        <v>458</v>
      </c>
      <c r="B5" s="435">
        <v>422.2561</v>
      </c>
      <c r="C5" s="436">
        <v>24.6</v>
      </c>
      <c r="D5" s="437" t="s">
        <v>459</v>
      </c>
      <c r="E5" s="50"/>
    </row>
    <row r="6" spans="1:5" ht="18" customHeight="1">
      <c r="A6" s="434" t="s">
        <v>460</v>
      </c>
      <c r="B6" s="435">
        <v>7.0007000000000001</v>
      </c>
      <c r="C6" s="436">
        <v>33.700000000000003</v>
      </c>
      <c r="D6" s="433">
        <v>4</v>
      </c>
      <c r="E6" s="50"/>
    </row>
    <row r="7" spans="1:5" ht="18" customHeight="1">
      <c r="A7" s="438" t="s">
        <v>461</v>
      </c>
      <c r="B7" s="435">
        <v>130.5685</v>
      </c>
      <c r="C7" s="436">
        <v>-3.1</v>
      </c>
      <c r="D7" s="433">
        <v>7</v>
      </c>
      <c r="E7" s="50"/>
    </row>
    <row r="8" spans="1:5" ht="18" customHeight="1">
      <c r="A8" s="439" t="s">
        <v>462</v>
      </c>
      <c r="B8" s="435">
        <v>146.0018</v>
      </c>
      <c r="C8" s="436">
        <v>54.4</v>
      </c>
      <c r="D8" s="433">
        <v>2</v>
      </c>
      <c r="E8" s="50"/>
    </row>
    <row r="9" spans="1:5" ht="18" customHeight="1">
      <c r="A9" s="438" t="s">
        <v>463</v>
      </c>
      <c r="B9" s="435">
        <v>25.4053</v>
      </c>
      <c r="C9" s="436">
        <v>-2.4</v>
      </c>
      <c r="D9" s="433">
        <v>6</v>
      </c>
      <c r="E9" s="50"/>
    </row>
    <row r="10" spans="1:5" ht="18" customHeight="1">
      <c r="A10" s="438" t="s">
        <v>465</v>
      </c>
      <c r="B10" s="435">
        <v>6.4420000000000002</v>
      </c>
      <c r="C10" s="436">
        <v>-5.4</v>
      </c>
      <c r="D10" s="433">
        <v>8</v>
      </c>
      <c r="E10" s="50"/>
    </row>
    <row r="11" spans="1:5" ht="18" customHeight="1">
      <c r="A11" s="438" t="s">
        <v>466</v>
      </c>
      <c r="B11" s="435">
        <v>2.9268999999999998</v>
      </c>
      <c r="C11" s="436">
        <v>19.2</v>
      </c>
      <c r="D11" s="433">
        <v>5</v>
      </c>
      <c r="E11" s="50"/>
    </row>
    <row r="12" spans="1:5" ht="18" customHeight="1">
      <c r="A12" s="440" t="s">
        <v>467</v>
      </c>
      <c r="B12" s="435">
        <v>-3.1444999999999999</v>
      </c>
      <c r="C12" s="436">
        <v>-307.8</v>
      </c>
      <c r="D12" s="433">
        <v>10</v>
      </c>
      <c r="E12" s="50"/>
    </row>
    <row r="13" spans="1:5" ht="18" customHeight="1">
      <c r="A13" s="440" t="s">
        <v>468</v>
      </c>
      <c r="B13" s="435">
        <v>4.266</v>
      </c>
      <c r="C13" s="436">
        <v>48.4</v>
      </c>
      <c r="D13" s="433">
        <v>3</v>
      </c>
      <c r="E13" s="50"/>
    </row>
    <row r="14" spans="1:5" ht="18" customHeight="1">
      <c r="A14" s="440" t="s">
        <v>469</v>
      </c>
      <c r="B14" s="435">
        <v>11.097200000000001</v>
      </c>
      <c r="C14" s="436">
        <v>-19.600000000000001</v>
      </c>
      <c r="D14" s="433">
        <v>9</v>
      </c>
      <c r="E14" s="50"/>
    </row>
    <row r="15" spans="1:5" ht="18" customHeight="1">
      <c r="A15" s="440" t="s">
        <v>480</v>
      </c>
      <c r="B15" s="435">
        <v>106.12860000000001</v>
      </c>
      <c r="C15" s="436">
        <v>61.2</v>
      </c>
      <c r="D15" s="433">
        <v>1</v>
      </c>
      <c r="E15" s="50"/>
    </row>
    <row r="16" spans="1:5" ht="18" customHeight="1">
      <c r="A16" s="441" t="s">
        <v>498</v>
      </c>
      <c r="B16" s="435"/>
      <c r="C16" s="442"/>
      <c r="D16" s="443"/>
    </row>
    <row r="17" spans="1:4" ht="18" customHeight="1">
      <c r="A17" s="434" t="s">
        <v>458</v>
      </c>
      <c r="B17" s="435">
        <v>2630.6758</v>
      </c>
      <c r="C17" s="436">
        <v>3.3</v>
      </c>
      <c r="D17" s="437" t="s">
        <v>459</v>
      </c>
    </row>
    <row r="18" spans="1:4" ht="18" customHeight="1">
      <c r="A18" s="434" t="s">
        <v>460</v>
      </c>
      <c r="B18" s="435">
        <v>10.3931</v>
      </c>
      <c r="C18" s="436">
        <v>-23.1</v>
      </c>
      <c r="D18" s="433">
        <v>10</v>
      </c>
    </row>
    <row r="19" spans="1:4" ht="18" customHeight="1">
      <c r="A19" s="438" t="s">
        <v>461</v>
      </c>
      <c r="B19" s="435">
        <v>373.52710000000002</v>
      </c>
      <c r="C19" s="436">
        <v>18.600000000000001</v>
      </c>
      <c r="D19" s="433">
        <v>4</v>
      </c>
    </row>
    <row r="20" spans="1:4" ht="18" customHeight="1">
      <c r="A20" s="439" t="s">
        <v>462</v>
      </c>
      <c r="B20" s="435">
        <v>419.44659999999999</v>
      </c>
      <c r="C20" s="436">
        <v>-5.4</v>
      </c>
      <c r="D20" s="433">
        <v>9</v>
      </c>
    </row>
    <row r="21" spans="1:4" ht="18" customHeight="1">
      <c r="A21" s="438" t="s">
        <v>463</v>
      </c>
      <c r="B21" s="435">
        <v>296.81720000000001</v>
      </c>
      <c r="C21" s="436">
        <v>2.5</v>
      </c>
      <c r="D21" s="433">
        <v>6</v>
      </c>
    </row>
    <row r="22" spans="1:4" ht="18" customHeight="1">
      <c r="A22" s="438" t="s">
        <v>465</v>
      </c>
      <c r="B22" s="435">
        <v>73.970699999999994</v>
      </c>
      <c r="C22" s="436">
        <v>20</v>
      </c>
      <c r="D22" s="433">
        <v>3</v>
      </c>
    </row>
    <row r="23" spans="1:4" ht="18" customHeight="1">
      <c r="A23" s="438" t="s">
        <v>466</v>
      </c>
      <c r="B23" s="435">
        <v>98.852099999999993</v>
      </c>
      <c r="C23" s="436">
        <v>23.6</v>
      </c>
      <c r="D23" s="433">
        <v>1</v>
      </c>
    </row>
    <row r="24" spans="1:4" ht="18" customHeight="1">
      <c r="A24" s="440" t="s">
        <v>467</v>
      </c>
      <c r="B24" s="435">
        <v>202.3159</v>
      </c>
      <c r="C24" s="436">
        <v>11.4</v>
      </c>
      <c r="D24" s="433">
        <v>5</v>
      </c>
    </row>
    <row r="25" spans="1:4" ht="18" customHeight="1">
      <c r="A25" s="440" t="s">
        <v>468</v>
      </c>
      <c r="B25" s="435">
        <v>165.67420000000001</v>
      </c>
      <c r="C25" s="436">
        <v>0.6</v>
      </c>
      <c r="D25" s="433">
        <v>7</v>
      </c>
    </row>
    <row r="26" spans="1:4" ht="18" customHeight="1">
      <c r="A26" s="440" t="s">
        <v>469</v>
      </c>
      <c r="B26" s="435">
        <v>141.66579999999999</v>
      </c>
      <c r="C26" s="436">
        <v>21.4</v>
      </c>
      <c r="D26" s="433">
        <v>2</v>
      </c>
    </row>
    <row r="27" spans="1:4" ht="18" customHeight="1">
      <c r="A27" s="440" t="s">
        <v>480</v>
      </c>
      <c r="B27" s="435">
        <v>1026.5550000000001</v>
      </c>
      <c r="C27" s="436">
        <v>-0.4</v>
      </c>
      <c r="D27" s="433">
        <v>8</v>
      </c>
    </row>
    <row r="28" spans="1:4">
      <c r="A28" s="1123"/>
      <c r="B28" s="1123"/>
      <c r="C28" s="1123"/>
      <c r="D28" s="1123"/>
    </row>
    <row r="34" spans="1:1">
      <c r="A34" s="349"/>
    </row>
    <row r="35" spans="1:1">
      <c r="A35" s="349"/>
    </row>
    <row r="36" spans="1:1">
      <c r="A36" s="349"/>
    </row>
    <row r="37" spans="1:1">
      <c r="A37" s="350"/>
    </row>
    <row r="38" spans="1:1">
      <c r="A38" s="351"/>
    </row>
    <row r="39" spans="1:1">
      <c r="A39" s="351"/>
    </row>
    <row r="40" spans="1:1">
      <c r="A40" s="351"/>
    </row>
    <row r="41" spans="1:1">
      <c r="A41" s="351"/>
    </row>
    <row r="42" spans="1:1">
      <c r="A42" s="352"/>
    </row>
    <row r="43" spans="1:1">
      <c r="A43" s="50"/>
    </row>
    <row r="44" spans="1:1">
      <c r="A44" s="349"/>
    </row>
  </sheetData>
  <sheetProtection password="DC9E" sheet="1" objects="1" scenarios="1"/>
  <mergeCells count="2">
    <mergeCell ref="A1:D1"/>
    <mergeCell ref="A28:D28"/>
  </mergeCells>
  <phoneticPr fontId="11" type="noConversion"/>
  <pageMargins left="0.75" right="0.75" top="0.58888888888888902" bottom="0.58888888888888902" header="0.50902777777777797" footer="0.50902777777777797"/>
  <pageSetup paperSize="9" orientation="portrait"/>
  <headerFooter scaleWithDoc="0"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5"/>
  </sheetPr>
  <dimension ref="A1:E44"/>
  <sheetViews>
    <sheetView zoomScale="90" zoomScaleNormal="90" workbookViewId="0">
      <selection activeCell="G7" sqref="G7"/>
    </sheetView>
  </sheetViews>
  <sheetFormatPr defaultColWidth="9" defaultRowHeight="14.25"/>
  <cols>
    <col min="1" max="1" width="39" style="43" customWidth="1"/>
    <col min="2" max="2" width="13.125" style="42" customWidth="1"/>
    <col min="3" max="3" width="13.125" style="331" customWidth="1"/>
    <col min="4" max="4" width="13.125" style="42" customWidth="1"/>
    <col min="5" max="5" width="9.75" style="42" customWidth="1"/>
    <col min="6" max="16384" width="9" style="42"/>
  </cols>
  <sheetData>
    <row r="1" spans="1:5" ht="34.5" customHeight="1">
      <c r="A1" s="1129" t="s">
        <v>499</v>
      </c>
      <c r="B1" s="1129"/>
      <c r="C1" s="1129"/>
      <c r="D1" s="1129"/>
    </row>
    <row r="2" spans="1:5" ht="20.25" customHeight="1">
      <c r="A2" s="408"/>
      <c r="B2" s="408"/>
      <c r="C2" s="408"/>
      <c r="D2" s="409" t="s">
        <v>473</v>
      </c>
    </row>
    <row r="3" spans="1:5" ht="28.5" customHeight="1">
      <c r="A3" s="410" t="s">
        <v>455</v>
      </c>
      <c r="B3" s="334" t="s">
        <v>34</v>
      </c>
      <c r="C3" s="411" t="s">
        <v>5</v>
      </c>
      <c r="D3" s="412" t="s">
        <v>456</v>
      </c>
      <c r="E3" s="50"/>
    </row>
    <row r="4" spans="1:5" ht="18" customHeight="1">
      <c r="A4" s="413" t="s">
        <v>500</v>
      </c>
      <c r="B4" s="414"/>
      <c r="C4" s="415"/>
      <c r="D4" s="416"/>
      <c r="E4" s="50"/>
    </row>
    <row r="5" spans="1:5" ht="18" customHeight="1">
      <c r="A5" s="417" t="s">
        <v>458</v>
      </c>
      <c r="B5" s="418">
        <v>1734.0744999999999</v>
      </c>
      <c r="C5" s="419">
        <v>-2.7</v>
      </c>
      <c r="D5" s="420" t="s">
        <v>459</v>
      </c>
      <c r="E5" s="50"/>
    </row>
    <row r="6" spans="1:5" ht="18" customHeight="1">
      <c r="A6" s="417" t="s">
        <v>460</v>
      </c>
      <c r="B6" s="418">
        <v>62.304200000000002</v>
      </c>
      <c r="C6" s="419">
        <v>-20.5</v>
      </c>
      <c r="D6" s="416">
        <v>10</v>
      </c>
      <c r="E6" s="50"/>
    </row>
    <row r="7" spans="1:5" ht="18" customHeight="1">
      <c r="A7" s="421" t="s">
        <v>461</v>
      </c>
      <c r="B7" s="418">
        <v>215.8689</v>
      </c>
      <c r="C7" s="419">
        <v>25</v>
      </c>
      <c r="D7" s="416">
        <v>2</v>
      </c>
      <c r="E7" s="50"/>
    </row>
    <row r="8" spans="1:5" ht="18" customHeight="1">
      <c r="A8" s="422" t="s">
        <v>462</v>
      </c>
      <c r="B8" s="418">
        <v>319.62450000000001</v>
      </c>
      <c r="C8" s="419">
        <v>-15.7</v>
      </c>
      <c r="D8" s="416">
        <v>9</v>
      </c>
      <c r="E8" s="50"/>
    </row>
    <row r="9" spans="1:5" ht="18" customHeight="1">
      <c r="A9" s="421" t="s">
        <v>463</v>
      </c>
      <c r="B9" s="418">
        <v>172.8921</v>
      </c>
      <c r="C9" s="419">
        <v>-7.3</v>
      </c>
      <c r="D9" s="416">
        <v>7</v>
      </c>
      <c r="E9" s="50"/>
    </row>
    <row r="10" spans="1:5" ht="18" customHeight="1">
      <c r="A10" s="421" t="s">
        <v>465</v>
      </c>
      <c r="B10" s="418">
        <v>41.907400000000003</v>
      </c>
      <c r="C10" s="419">
        <v>46.3</v>
      </c>
      <c r="D10" s="416">
        <v>1</v>
      </c>
      <c r="E10" s="50"/>
    </row>
    <row r="11" spans="1:5" ht="18" customHeight="1">
      <c r="A11" s="421" t="s">
        <v>466</v>
      </c>
      <c r="B11" s="418">
        <v>73.286799999999999</v>
      </c>
      <c r="C11" s="419">
        <v>13.8</v>
      </c>
      <c r="D11" s="416">
        <v>4</v>
      </c>
      <c r="E11" s="50"/>
    </row>
    <row r="12" spans="1:5" ht="18" customHeight="1">
      <c r="A12" s="423" t="s">
        <v>467</v>
      </c>
      <c r="B12" s="418">
        <v>204.71879999999999</v>
      </c>
      <c r="C12" s="419">
        <v>11.3</v>
      </c>
      <c r="D12" s="416">
        <v>5</v>
      </c>
      <c r="E12" s="50"/>
    </row>
    <row r="13" spans="1:5" ht="18" customHeight="1">
      <c r="A13" s="423" t="s">
        <v>468</v>
      </c>
      <c r="B13" s="418">
        <v>144.24199999999999</v>
      </c>
      <c r="C13" s="419">
        <v>2.5</v>
      </c>
      <c r="D13" s="416">
        <v>6</v>
      </c>
      <c r="E13" s="50"/>
    </row>
    <row r="14" spans="1:5" ht="18" customHeight="1">
      <c r="A14" s="423" t="s">
        <v>469</v>
      </c>
      <c r="B14" s="418">
        <v>91.217500000000001</v>
      </c>
      <c r="C14" s="419">
        <v>24.4</v>
      </c>
      <c r="D14" s="416">
        <v>3</v>
      </c>
      <c r="E14" s="50"/>
    </row>
    <row r="15" spans="1:5" ht="18" customHeight="1">
      <c r="A15" s="423" t="s">
        <v>480</v>
      </c>
      <c r="B15" s="418">
        <v>568.91359999999997</v>
      </c>
      <c r="C15" s="419">
        <v>-10.5</v>
      </c>
      <c r="D15" s="416">
        <v>8</v>
      </c>
      <c r="E15" s="50"/>
    </row>
    <row r="16" spans="1:5" ht="18" customHeight="1">
      <c r="A16" s="413" t="s">
        <v>501</v>
      </c>
      <c r="B16" s="418"/>
      <c r="C16" s="419"/>
      <c r="D16" s="416"/>
      <c r="E16" s="50"/>
    </row>
    <row r="17" spans="1:5" ht="18" customHeight="1">
      <c r="A17" s="417" t="s">
        <v>458</v>
      </c>
      <c r="B17" s="418">
        <v>161.10509999999999</v>
      </c>
      <c r="C17" s="419">
        <v>-6.8</v>
      </c>
      <c r="D17" s="420" t="s">
        <v>459</v>
      </c>
      <c r="E17" s="50"/>
    </row>
    <row r="18" spans="1:5" ht="18" customHeight="1">
      <c r="A18" s="417" t="s">
        <v>460</v>
      </c>
      <c r="B18" s="418">
        <v>10.3931</v>
      </c>
      <c r="C18" s="419">
        <v>-23.1</v>
      </c>
      <c r="D18" s="416">
        <v>9</v>
      </c>
      <c r="E18" s="50"/>
    </row>
    <row r="19" spans="1:5" ht="18" customHeight="1">
      <c r="A19" s="421" t="s">
        <v>461</v>
      </c>
      <c r="B19" s="418">
        <v>29.414100000000001</v>
      </c>
      <c r="C19" s="419">
        <v>20.2</v>
      </c>
      <c r="D19" s="416">
        <v>3</v>
      </c>
      <c r="E19" s="50"/>
    </row>
    <row r="20" spans="1:5" ht="18" customHeight="1">
      <c r="A20" s="422" t="s">
        <v>462</v>
      </c>
      <c r="B20" s="418">
        <v>14.414899999999999</v>
      </c>
      <c r="C20" s="419">
        <v>9</v>
      </c>
      <c r="D20" s="416">
        <v>4</v>
      </c>
      <c r="E20" s="50"/>
    </row>
    <row r="21" spans="1:5" ht="18" customHeight="1">
      <c r="A21" s="421" t="s">
        <v>463</v>
      </c>
      <c r="B21" s="418">
        <v>12.192500000000001</v>
      </c>
      <c r="C21" s="419">
        <v>-21.3</v>
      </c>
      <c r="D21" s="416">
        <v>8</v>
      </c>
      <c r="E21" s="50"/>
    </row>
    <row r="22" spans="1:5" ht="18" customHeight="1">
      <c r="A22" s="421" t="s">
        <v>465</v>
      </c>
      <c r="B22" s="418">
        <v>15.9656</v>
      </c>
      <c r="C22" s="419">
        <v>32.200000000000003</v>
      </c>
      <c r="D22" s="416">
        <v>2</v>
      </c>
      <c r="E22" s="50"/>
    </row>
    <row r="23" spans="1:5" ht="18" customHeight="1">
      <c r="A23" s="421" t="s">
        <v>466</v>
      </c>
      <c r="B23" s="418">
        <v>4.6109</v>
      </c>
      <c r="C23" s="419">
        <v>37.6</v>
      </c>
      <c r="D23" s="416">
        <v>1</v>
      </c>
      <c r="E23" s="50"/>
    </row>
    <row r="24" spans="1:5" ht="18" customHeight="1">
      <c r="A24" s="423" t="s">
        <v>467</v>
      </c>
      <c r="B24" s="418">
        <v>6.3714000000000004</v>
      </c>
      <c r="C24" s="419">
        <v>-46.3</v>
      </c>
      <c r="D24" s="416">
        <v>10</v>
      </c>
      <c r="E24" s="50"/>
    </row>
    <row r="25" spans="1:5" ht="18" customHeight="1">
      <c r="A25" s="423" t="s">
        <v>468</v>
      </c>
      <c r="B25" s="418">
        <v>17.171299999999999</v>
      </c>
      <c r="C25" s="419">
        <v>-2.5</v>
      </c>
      <c r="D25" s="416">
        <v>5</v>
      </c>
      <c r="E25" s="50"/>
    </row>
    <row r="26" spans="1:5" ht="18" customHeight="1">
      <c r="A26" s="423" t="s">
        <v>469</v>
      </c>
      <c r="B26" s="418">
        <v>26.931999999999999</v>
      </c>
      <c r="C26" s="419">
        <v>-3</v>
      </c>
      <c r="D26" s="416">
        <v>6</v>
      </c>
      <c r="E26" s="50"/>
    </row>
    <row r="27" spans="1:5" ht="18" customHeight="1">
      <c r="A27" s="424" t="s">
        <v>480</v>
      </c>
      <c r="B27" s="418">
        <v>49.586399999999998</v>
      </c>
      <c r="C27" s="419">
        <v>-12.7</v>
      </c>
      <c r="D27" s="416">
        <v>7</v>
      </c>
      <c r="E27" s="50"/>
    </row>
    <row r="28" spans="1:5">
      <c r="A28" s="1123"/>
      <c r="B28" s="1123"/>
      <c r="C28" s="1123"/>
      <c r="D28" s="1123"/>
    </row>
    <row r="34" spans="1:1">
      <c r="A34" s="349"/>
    </row>
    <row r="35" spans="1:1">
      <c r="A35" s="349"/>
    </row>
    <row r="36" spans="1:1">
      <c r="A36" s="349"/>
    </row>
    <row r="37" spans="1:1">
      <c r="A37" s="350"/>
    </row>
    <row r="38" spans="1:1">
      <c r="A38" s="351"/>
    </row>
    <row r="39" spans="1:1">
      <c r="A39" s="351"/>
    </row>
    <row r="40" spans="1:1">
      <c r="A40" s="351"/>
    </row>
    <row r="41" spans="1:1">
      <c r="A41" s="351"/>
    </row>
    <row r="42" spans="1:1">
      <c r="A42" s="352"/>
    </row>
    <row r="43" spans="1:1">
      <c r="A43" s="50"/>
    </row>
    <row r="44" spans="1:1">
      <c r="A44" s="349"/>
    </row>
  </sheetData>
  <sheetProtection password="DC9E" sheet="1" objects="1" scenarios="1"/>
  <mergeCells count="2">
    <mergeCell ref="A1:D1"/>
    <mergeCell ref="A28:D28"/>
  </mergeCells>
  <phoneticPr fontId="11" type="noConversion"/>
  <pageMargins left="0.75" right="0.75" top="0.58888888888888902" bottom="0.58888888888888902" header="0.50902777777777797" footer="0.50902777777777797"/>
  <pageSetup paperSize="9" orientation="portrait"/>
  <headerFooter scaleWithDoc="0"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theme="5"/>
  </sheetPr>
  <dimension ref="A1:E44"/>
  <sheetViews>
    <sheetView zoomScale="90" zoomScaleNormal="90" workbookViewId="0">
      <selection activeCell="H6" sqref="H6"/>
    </sheetView>
  </sheetViews>
  <sheetFormatPr defaultColWidth="9" defaultRowHeight="14.25"/>
  <cols>
    <col min="1" max="1" width="39" style="43" customWidth="1"/>
    <col min="2" max="2" width="13.125" customWidth="1"/>
    <col min="3" max="3" width="13.125" style="391" customWidth="1"/>
    <col min="4" max="4" width="13.125" customWidth="1"/>
    <col min="5" max="5" width="9.75" customWidth="1"/>
  </cols>
  <sheetData>
    <row r="1" spans="1:5" ht="34.5" customHeight="1">
      <c r="A1" s="1130" t="s">
        <v>502</v>
      </c>
      <c r="B1" s="1130"/>
      <c r="C1" s="1130"/>
      <c r="D1" s="1130"/>
      <c r="E1" s="42"/>
    </row>
    <row r="2" spans="1:5" ht="20.25" customHeight="1">
      <c r="A2" s="392"/>
      <c r="B2" s="392"/>
      <c r="C2" s="1131" t="s">
        <v>473</v>
      </c>
      <c r="D2" s="1131"/>
      <c r="E2" s="42"/>
    </row>
    <row r="3" spans="1:5" ht="28.5" customHeight="1">
      <c r="A3" s="393" t="s">
        <v>455</v>
      </c>
      <c r="B3" s="334" t="s">
        <v>34</v>
      </c>
      <c r="C3" s="394" t="s">
        <v>5</v>
      </c>
      <c r="D3" s="395" t="s">
        <v>456</v>
      </c>
      <c r="E3" s="50"/>
    </row>
    <row r="4" spans="1:5" ht="18" customHeight="1">
      <c r="A4" s="396" t="s">
        <v>503</v>
      </c>
      <c r="B4" s="397"/>
      <c r="C4" s="398"/>
      <c r="D4" s="397"/>
      <c r="E4" s="42"/>
    </row>
    <row r="5" spans="1:5" ht="18" customHeight="1">
      <c r="A5" s="399" t="s">
        <v>458</v>
      </c>
      <c r="B5" s="400">
        <v>80.130600000000001</v>
      </c>
      <c r="C5" s="401">
        <v>-7.7</v>
      </c>
      <c r="D5" s="402" t="s">
        <v>459</v>
      </c>
      <c r="E5" s="42"/>
    </row>
    <row r="6" spans="1:5" ht="18" customHeight="1">
      <c r="A6" s="399" t="s">
        <v>460</v>
      </c>
      <c r="B6" s="400">
        <v>2.2801</v>
      </c>
      <c r="C6" s="401">
        <v>-4.8</v>
      </c>
      <c r="D6" s="403">
        <v>7</v>
      </c>
      <c r="E6" s="42"/>
    </row>
    <row r="7" spans="1:5" ht="18" customHeight="1">
      <c r="A7" s="404" t="s">
        <v>461</v>
      </c>
      <c r="B7" s="400">
        <v>22.648199999999999</v>
      </c>
      <c r="C7" s="401">
        <v>11</v>
      </c>
      <c r="D7" s="403">
        <v>2</v>
      </c>
      <c r="E7" s="42"/>
    </row>
    <row r="8" spans="1:5" ht="18" customHeight="1">
      <c r="A8" s="405" t="s">
        <v>462</v>
      </c>
      <c r="B8" s="400">
        <v>4.6318000000000001</v>
      </c>
      <c r="C8" s="401">
        <v>-55.6</v>
      </c>
      <c r="D8" s="403">
        <v>10</v>
      </c>
      <c r="E8" s="42"/>
    </row>
    <row r="9" spans="1:5" ht="18" customHeight="1">
      <c r="A9" s="404" t="s">
        <v>463</v>
      </c>
      <c r="B9" s="400">
        <v>9.5487000000000002</v>
      </c>
      <c r="C9" s="401">
        <v>-28.5</v>
      </c>
      <c r="D9" s="403">
        <v>9</v>
      </c>
      <c r="E9" s="42"/>
    </row>
    <row r="10" spans="1:5" ht="18" customHeight="1">
      <c r="A10" s="404" t="s">
        <v>465</v>
      </c>
      <c r="B10" s="400">
        <v>6.2079000000000004</v>
      </c>
      <c r="C10" s="401">
        <v>5.5</v>
      </c>
      <c r="D10" s="403">
        <v>5</v>
      </c>
      <c r="E10" s="42"/>
    </row>
    <row r="11" spans="1:5" ht="18" customHeight="1">
      <c r="A11" s="404" t="s">
        <v>466</v>
      </c>
      <c r="B11" s="400">
        <v>1.2073</v>
      </c>
      <c r="C11" s="401">
        <v>17.899999999999999</v>
      </c>
      <c r="D11" s="403">
        <v>1</v>
      </c>
      <c r="E11" s="42"/>
    </row>
    <row r="12" spans="1:5" ht="18" customHeight="1">
      <c r="A12" s="406" t="s">
        <v>467</v>
      </c>
      <c r="B12" s="400">
        <v>4.9626999999999999</v>
      </c>
      <c r="C12" s="401">
        <v>5.6</v>
      </c>
      <c r="D12" s="403">
        <v>4</v>
      </c>
      <c r="E12" s="42"/>
    </row>
    <row r="13" spans="1:5" ht="18" customHeight="1">
      <c r="A13" s="406" t="s">
        <v>468</v>
      </c>
      <c r="B13" s="400">
        <v>11.098699999999999</v>
      </c>
      <c r="C13" s="401">
        <v>-0.8</v>
      </c>
      <c r="D13" s="403">
        <v>6</v>
      </c>
      <c r="E13" s="42"/>
    </row>
    <row r="14" spans="1:5" ht="18" customHeight="1">
      <c r="A14" s="406" t="s">
        <v>469</v>
      </c>
      <c r="B14" s="400">
        <v>7.2191999999999998</v>
      </c>
      <c r="C14" s="401">
        <v>-11.7</v>
      </c>
      <c r="D14" s="403">
        <v>8</v>
      </c>
      <c r="E14" s="42"/>
    </row>
    <row r="15" spans="1:5" ht="18" customHeight="1">
      <c r="A15" s="406" t="s">
        <v>480</v>
      </c>
      <c r="B15" s="400">
        <v>28.065799999999999</v>
      </c>
      <c r="C15" s="401">
        <v>7</v>
      </c>
      <c r="D15" s="403">
        <v>3</v>
      </c>
      <c r="E15" s="42"/>
    </row>
    <row r="16" spans="1:5" ht="18" customHeight="1">
      <c r="A16" s="407" t="s">
        <v>504</v>
      </c>
      <c r="B16" s="400"/>
      <c r="C16" s="401"/>
      <c r="D16" s="403"/>
      <c r="E16" s="50"/>
    </row>
    <row r="17" spans="1:5" ht="18" customHeight="1">
      <c r="A17" s="399" t="s">
        <v>458</v>
      </c>
      <c r="B17" s="400">
        <v>33.183900000000001</v>
      </c>
      <c r="C17" s="401">
        <v>13.9</v>
      </c>
      <c r="D17" s="402" t="s">
        <v>459</v>
      </c>
      <c r="E17" s="50"/>
    </row>
    <row r="18" spans="1:5" ht="18" customHeight="1">
      <c r="A18" s="399" t="s">
        <v>460</v>
      </c>
      <c r="B18" s="400">
        <v>1.7146999999999999</v>
      </c>
      <c r="C18" s="401">
        <v>6.2</v>
      </c>
      <c r="D18" s="403">
        <v>8</v>
      </c>
      <c r="E18" s="50"/>
    </row>
    <row r="19" spans="1:5" ht="18" customHeight="1">
      <c r="A19" s="404" t="s">
        <v>461</v>
      </c>
      <c r="B19" s="400">
        <v>3.0962000000000001</v>
      </c>
      <c r="C19" s="401">
        <v>29.6</v>
      </c>
      <c r="D19" s="403">
        <v>5</v>
      </c>
      <c r="E19" s="50"/>
    </row>
    <row r="20" spans="1:5" ht="18" customHeight="1">
      <c r="A20" s="405" t="s">
        <v>462</v>
      </c>
      <c r="B20" s="400">
        <v>0.24410000000000001</v>
      </c>
      <c r="C20" s="401">
        <v>61.8</v>
      </c>
      <c r="D20" s="403">
        <v>1</v>
      </c>
      <c r="E20" s="50"/>
    </row>
    <row r="21" spans="1:5" ht="18" customHeight="1">
      <c r="A21" s="404" t="s">
        <v>463</v>
      </c>
      <c r="B21" s="400">
        <v>7.8558000000000003</v>
      </c>
      <c r="C21" s="401">
        <v>26.7</v>
      </c>
      <c r="D21" s="403">
        <v>6</v>
      </c>
      <c r="E21" s="50"/>
    </row>
    <row r="22" spans="1:5" ht="18" customHeight="1">
      <c r="A22" s="404" t="s">
        <v>465</v>
      </c>
      <c r="B22" s="400">
        <v>1.0009999999999999</v>
      </c>
      <c r="C22" s="401">
        <v>-1.3</v>
      </c>
      <c r="D22" s="403">
        <v>10</v>
      </c>
      <c r="E22" s="50"/>
    </row>
    <row r="23" spans="1:5" ht="18" customHeight="1">
      <c r="A23" s="404" t="s">
        <v>466</v>
      </c>
      <c r="B23" s="400">
        <v>1.6589</v>
      </c>
      <c r="C23" s="401">
        <v>23.2</v>
      </c>
      <c r="D23" s="403">
        <v>7</v>
      </c>
      <c r="E23" s="50"/>
    </row>
    <row r="24" spans="1:5" ht="18" customHeight="1">
      <c r="A24" s="406" t="s">
        <v>467</v>
      </c>
      <c r="B24" s="400">
        <v>1.2093</v>
      </c>
      <c r="C24" s="401">
        <v>45.5</v>
      </c>
      <c r="D24" s="403">
        <v>4</v>
      </c>
      <c r="E24" s="50"/>
    </row>
    <row r="25" spans="1:5" ht="18" customHeight="1">
      <c r="A25" s="406" t="s">
        <v>468</v>
      </c>
      <c r="B25" s="400">
        <v>2.9485999999999999</v>
      </c>
      <c r="C25" s="401">
        <v>51.3</v>
      </c>
      <c r="D25" s="403">
        <v>2</v>
      </c>
      <c r="E25" s="50"/>
    </row>
    <row r="26" spans="1:5" ht="18" customHeight="1">
      <c r="A26" s="406" t="s">
        <v>469</v>
      </c>
      <c r="B26" s="400">
        <v>1.3962000000000001</v>
      </c>
      <c r="C26" s="401">
        <v>49.3</v>
      </c>
      <c r="D26" s="403">
        <v>3</v>
      </c>
      <c r="E26" s="50"/>
    </row>
    <row r="27" spans="1:5" ht="18" customHeight="1">
      <c r="A27" s="406" t="s">
        <v>480</v>
      </c>
      <c r="B27" s="400">
        <v>19.545100000000001</v>
      </c>
      <c r="C27" s="401">
        <v>5.5</v>
      </c>
      <c r="D27" s="403">
        <v>9</v>
      </c>
      <c r="E27" s="50"/>
    </row>
    <row r="28" spans="1:5">
      <c r="A28" s="1123"/>
      <c r="B28" s="1123"/>
      <c r="C28" s="1123"/>
      <c r="D28" s="1123"/>
    </row>
    <row r="34" spans="1:1">
      <c r="A34" s="349"/>
    </row>
    <row r="35" spans="1:1">
      <c r="A35" s="349"/>
    </row>
    <row r="36" spans="1:1">
      <c r="A36" s="349"/>
    </row>
    <row r="37" spans="1:1">
      <c r="A37" s="350"/>
    </row>
    <row r="38" spans="1:1">
      <c r="A38" s="351"/>
    </row>
    <row r="39" spans="1:1">
      <c r="A39" s="351"/>
    </row>
    <row r="40" spans="1:1">
      <c r="A40" s="351"/>
    </row>
    <row r="41" spans="1:1">
      <c r="A41" s="351"/>
    </row>
    <row r="42" spans="1:1">
      <c r="A42" s="352"/>
    </row>
    <row r="43" spans="1:1">
      <c r="A43" s="50"/>
    </row>
    <row r="44" spans="1:1">
      <c r="A44" s="349"/>
    </row>
  </sheetData>
  <sheetProtection password="DC9E" sheet="1" objects="1" scenarios="1"/>
  <mergeCells count="3">
    <mergeCell ref="A1:D1"/>
    <mergeCell ref="C2:D2"/>
    <mergeCell ref="A28:D28"/>
  </mergeCells>
  <phoneticPr fontId="11" type="noConversion"/>
  <pageMargins left="0.75" right="0.75" top="0.58888888888888902" bottom="0.58888888888888902" header="0.50902777777777797" footer="0.50902777777777797"/>
  <pageSetup paperSize="9" orientation="portrait"/>
  <headerFooter scaleWithDoc="0"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theme="5"/>
  </sheetPr>
  <dimension ref="A1:E44"/>
  <sheetViews>
    <sheetView zoomScale="90" zoomScaleNormal="90" workbookViewId="0">
      <selection sqref="A1:XFD1048576"/>
    </sheetView>
  </sheetViews>
  <sheetFormatPr defaultColWidth="9" defaultRowHeight="14.25"/>
  <cols>
    <col min="1" max="1" width="44.5" style="252" customWidth="1"/>
    <col min="2" max="2" width="13.125" style="253" customWidth="1"/>
    <col min="3" max="3" width="13.125" style="302" customWidth="1"/>
    <col min="4" max="4" width="13.125" style="253" customWidth="1"/>
    <col min="5" max="5" width="9.75" style="253" customWidth="1"/>
    <col min="6" max="16384" width="9" style="253"/>
  </cols>
  <sheetData>
    <row r="1" spans="1:5" ht="34.5" customHeight="1">
      <c r="A1" s="1132" t="s">
        <v>505</v>
      </c>
      <c r="B1" s="1132"/>
      <c r="C1" s="1132"/>
      <c r="D1" s="1132"/>
    </row>
    <row r="2" spans="1:5" ht="20.25" customHeight="1">
      <c r="A2" s="370"/>
      <c r="B2" s="370"/>
      <c r="C2" s="1133"/>
      <c r="D2" s="1133"/>
    </row>
    <row r="3" spans="1:5" ht="28.5" customHeight="1">
      <c r="A3" s="371" t="s">
        <v>455</v>
      </c>
      <c r="B3" s="372" t="s">
        <v>34</v>
      </c>
      <c r="C3" s="373" t="s">
        <v>5</v>
      </c>
      <c r="D3" s="374" t="s">
        <v>456</v>
      </c>
      <c r="E3" s="309"/>
    </row>
    <row r="4" spans="1:5" ht="15.95" customHeight="1">
      <c r="A4" s="375" t="s">
        <v>506</v>
      </c>
      <c r="B4" s="376"/>
      <c r="C4" s="377"/>
      <c r="D4" s="378"/>
      <c r="E4" s="309"/>
    </row>
    <row r="5" spans="1:5" ht="15.95" customHeight="1">
      <c r="A5" s="379" t="s">
        <v>458</v>
      </c>
      <c r="B5" s="380">
        <v>123979</v>
      </c>
      <c r="C5" s="377">
        <v>-7.9</v>
      </c>
      <c r="D5" s="381" t="s">
        <v>459</v>
      </c>
      <c r="E5" s="309"/>
    </row>
    <row r="6" spans="1:5" ht="15.95" customHeight="1">
      <c r="A6" s="379" t="s">
        <v>460</v>
      </c>
      <c r="B6" s="380">
        <v>5254</v>
      </c>
      <c r="C6" s="377">
        <v>-14.6</v>
      </c>
      <c r="D6" s="378">
        <v>10</v>
      </c>
      <c r="E6" s="309"/>
    </row>
    <row r="7" spans="1:5" ht="15.95" customHeight="1">
      <c r="A7" s="382" t="s">
        <v>461</v>
      </c>
      <c r="B7" s="380">
        <v>18705</v>
      </c>
      <c r="C7" s="377">
        <v>-2.2999999999999998</v>
      </c>
      <c r="D7" s="378">
        <v>3</v>
      </c>
      <c r="E7" s="309"/>
    </row>
    <row r="8" spans="1:5" ht="15.95" customHeight="1">
      <c r="A8" s="383" t="s">
        <v>462</v>
      </c>
      <c r="B8" s="380">
        <v>9607</v>
      </c>
      <c r="C8" s="377">
        <v>-7.5</v>
      </c>
      <c r="D8" s="378">
        <v>6</v>
      </c>
      <c r="E8" s="309"/>
    </row>
    <row r="9" spans="1:5" ht="15.95" customHeight="1">
      <c r="A9" s="382" t="s">
        <v>463</v>
      </c>
      <c r="B9" s="380">
        <v>13011</v>
      </c>
      <c r="C9" s="377">
        <v>-13.2</v>
      </c>
      <c r="D9" s="378">
        <v>9</v>
      </c>
      <c r="E9" s="309"/>
    </row>
    <row r="10" spans="1:5" ht="15.95" customHeight="1">
      <c r="A10" s="382" t="s">
        <v>465</v>
      </c>
      <c r="B10" s="380">
        <v>11784</v>
      </c>
      <c r="C10" s="377">
        <v>-2.1</v>
      </c>
      <c r="D10" s="378">
        <v>2</v>
      </c>
      <c r="E10" s="309"/>
    </row>
    <row r="11" spans="1:5" ht="15.95" customHeight="1">
      <c r="A11" s="382" t="s">
        <v>466</v>
      </c>
      <c r="B11" s="380">
        <v>2647</v>
      </c>
      <c r="C11" s="377">
        <v>-8</v>
      </c>
      <c r="D11" s="378">
        <v>7</v>
      </c>
      <c r="E11" s="309"/>
    </row>
    <row r="12" spans="1:5" ht="15.95" customHeight="1">
      <c r="A12" s="382" t="s">
        <v>467</v>
      </c>
      <c r="B12" s="380">
        <v>8242</v>
      </c>
      <c r="C12" s="377">
        <v>-7.1</v>
      </c>
      <c r="D12" s="378">
        <v>5</v>
      </c>
      <c r="E12" s="309"/>
    </row>
    <row r="13" spans="1:5" ht="15.95" customHeight="1">
      <c r="A13" s="382" t="s">
        <v>468</v>
      </c>
      <c r="B13" s="380">
        <v>13399</v>
      </c>
      <c r="C13" s="377">
        <v>-4.2</v>
      </c>
      <c r="D13" s="378">
        <v>4</v>
      </c>
      <c r="E13" s="309"/>
    </row>
    <row r="14" spans="1:5" ht="15.95" customHeight="1">
      <c r="A14" s="382" t="s">
        <v>469</v>
      </c>
      <c r="B14" s="380">
        <v>32361</v>
      </c>
      <c r="C14" s="377">
        <v>-12.7</v>
      </c>
      <c r="D14" s="378">
        <v>8</v>
      </c>
      <c r="E14" s="309"/>
    </row>
    <row r="15" spans="1:5" ht="15.95" customHeight="1">
      <c r="A15" s="382" t="s">
        <v>480</v>
      </c>
      <c r="B15" s="380">
        <v>20390</v>
      </c>
      <c r="C15" s="377">
        <v>-2</v>
      </c>
      <c r="D15" s="378">
        <v>1</v>
      </c>
      <c r="E15" s="309"/>
    </row>
    <row r="16" spans="1:5" ht="15.95" customHeight="1">
      <c r="A16" s="375" t="s">
        <v>507</v>
      </c>
      <c r="B16" s="384"/>
      <c r="C16" s="385"/>
      <c r="D16" s="384"/>
    </row>
    <row r="17" spans="1:4" ht="15.95" customHeight="1">
      <c r="A17" s="379" t="s">
        <v>458</v>
      </c>
      <c r="B17" s="386">
        <v>17.46</v>
      </c>
      <c r="C17" s="377">
        <v>2.8</v>
      </c>
      <c r="D17" s="381" t="s">
        <v>459</v>
      </c>
    </row>
    <row r="18" spans="1:4" ht="15.95" customHeight="1">
      <c r="A18" s="379" t="s">
        <v>460</v>
      </c>
      <c r="B18" s="386">
        <v>5.78</v>
      </c>
      <c r="C18" s="377">
        <v>1.6</v>
      </c>
      <c r="D18" s="387">
        <f t="shared" ref="D18:D27" si="0">RANK(C18,$C$18:$C$27,0)</f>
        <v>5</v>
      </c>
    </row>
    <row r="19" spans="1:4" ht="15.95" customHeight="1">
      <c r="A19" s="382" t="s">
        <v>461</v>
      </c>
      <c r="B19" s="386">
        <v>40.67</v>
      </c>
      <c r="C19" s="377">
        <v>-5</v>
      </c>
      <c r="D19" s="387">
        <f t="shared" si="0"/>
        <v>10</v>
      </c>
    </row>
    <row r="20" spans="1:4" ht="15.95" customHeight="1">
      <c r="A20" s="383" t="s">
        <v>462</v>
      </c>
      <c r="B20" s="386">
        <v>33.97</v>
      </c>
      <c r="C20" s="377">
        <v>11.1</v>
      </c>
      <c r="D20" s="387">
        <f t="shared" si="0"/>
        <v>1</v>
      </c>
    </row>
    <row r="21" spans="1:4" ht="15.95" customHeight="1">
      <c r="A21" s="382" t="s">
        <v>463</v>
      </c>
      <c r="B21" s="386">
        <v>18.63</v>
      </c>
      <c r="C21" s="377">
        <v>6.1</v>
      </c>
      <c r="D21" s="387">
        <f t="shared" si="0"/>
        <v>2</v>
      </c>
    </row>
    <row r="22" spans="1:4" ht="15.95" customHeight="1">
      <c r="A22" s="382" t="s">
        <v>465</v>
      </c>
      <c r="B22" s="386">
        <v>10.76</v>
      </c>
      <c r="C22" s="377">
        <v>-3.1</v>
      </c>
      <c r="D22" s="387">
        <f t="shared" si="0"/>
        <v>8</v>
      </c>
    </row>
    <row r="23" spans="1:4" ht="15.95" customHeight="1">
      <c r="A23" s="382" t="s">
        <v>466</v>
      </c>
      <c r="B23" s="386">
        <v>4.9800000000000004</v>
      </c>
      <c r="C23" s="377">
        <v>0.2</v>
      </c>
      <c r="D23" s="387">
        <f t="shared" si="0"/>
        <v>6</v>
      </c>
    </row>
    <row r="24" spans="1:4" ht="15.95" customHeight="1">
      <c r="A24" s="382" t="s">
        <v>467</v>
      </c>
      <c r="B24" s="386">
        <v>-1.01</v>
      </c>
      <c r="C24" s="377">
        <v>-2.5</v>
      </c>
      <c r="D24" s="387">
        <f t="shared" si="0"/>
        <v>7</v>
      </c>
    </row>
    <row r="25" spans="1:4" ht="15.95" customHeight="1">
      <c r="A25" s="382" t="s">
        <v>468</v>
      </c>
      <c r="B25" s="386">
        <v>4.24</v>
      </c>
      <c r="C25" s="377">
        <v>1.7</v>
      </c>
      <c r="D25" s="387">
        <f t="shared" si="0"/>
        <v>4</v>
      </c>
    </row>
    <row r="26" spans="1:4" ht="15.95" customHeight="1">
      <c r="A26" s="382" t="s">
        <v>469</v>
      </c>
      <c r="B26" s="386">
        <v>9.83</v>
      </c>
      <c r="C26" s="377">
        <v>-3.1</v>
      </c>
      <c r="D26" s="387">
        <f t="shared" si="0"/>
        <v>8</v>
      </c>
    </row>
    <row r="27" spans="1:4" ht="15.95" customHeight="1">
      <c r="A27" s="388" t="s">
        <v>480</v>
      </c>
      <c r="B27" s="389">
        <v>12.01</v>
      </c>
      <c r="C27" s="390">
        <v>3.9</v>
      </c>
      <c r="D27" s="387">
        <f t="shared" si="0"/>
        <v>3</v>
      </c>
    </row>
    <row r="28" spans="1:4">
      <c r="A28" s="1126"/>
      <c r="B28" s="1126"/>
      <c r="C28" s="1126"/>
      <c r="D28" s="1126"/>
    </row>
    <row r="34" spans="1:1">
      <c r="A34" s="328"/>
    </row>
    <row r="35" spans="1:1">
      <c r="A35" s="328"/>
    </row>
    <row r="36" spans="1:1">
      <c r="A36" s="328"/>
    </row>
    <row r="37" spans="1:1">
      <c r="A37" s="329"/>
    </row>
    <row r="38" spans="1:1">
      <c r="A38" s="330"/>
    </row>
    <row r="39" spans="1:1">
      <c r="A39" s="330"/>
    </row>
    <row r="40" spans="1:1">
      <c r="A40" s="330"/>
    </row>
    <row r="41" spans="1:1">
      <c r="A41" s="330"/>
    </row>
    <row r="42" spans="1:1">
      <c r="A42" s="330"/>
    </row>
    <row r="43" spans="1:1">
      <c r="A43" s="309"/>
    </row>
    <row r="44" spans="1:1">
      <c r="A44" s="328"/>
    </row>
  </sheetData>
  <sheetProtection password="DC9E" sheet="1" objects="1" scenarios="1"/>
  <mergeCells count="3">
    <mergeCell ref="A1:D1"/>
    <mergeCell ref="C2:D2"/>
    <mergeCell ref="A28:D28"/>
  </mergeCells>
  <phoneticPr fontId="11" type="noConversion"/>
  <pageMargins left="0.55000000000000004" right="0.55000000000000004" top="0.97916666666666696" bottom="0.97916666666666696" header="0.50902777777777797" footer="0.50902777777777797"/>
  <pageSetup paperSize="9" orientation="portrait"/>
  <headerFooter scaleWithDoc="0"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theme="5"/>
  </sheetPr>
  <dimension ref="A1:D27"/>
  <sheetViews>
    <sheetView zoomScale="90" zoomScaleNormal="90" workbookViewId="0">
      <selection activeCell="G3" sqref="G3"/>
    </sheetView>
  </sheetViews>
  <sheetFormatPr defaultColWidth="9" defaultRowHeight="14.25"/>
  <cols>
    <col min="1" max="1" width="42.125" style="42" customWidth="1"/>
    <col min="2" max="2" width="12.25" style="42" customWidth="1"/>
    <col min="3" max="3" width="13.25" style="42" customWidth="1"/>
    <col min="4" max="4" width="15" style="42" customWidth="1"/>
    <col min="5" max="16384" width="9" style="42"/>
  </cols>
  <sheetData>
    <row r="1" spans="1:4" ht="36" customHeight="1">
      <c r="A1" s="1134" t="s">
        <v>508</v>
      </c>
      <c r="B1" s="1134"/>
      <c r="C1" s="1134"/>
      <c r="D1" s="1134"/>
    </row>
    <row r="2" spans="1:4" ht="18" customHeight="1">
      <c r="A2" s="353"/>
      <c r="B2" s="353"/>
      <c r="C2" s="353"/>
      <c r="D2" s="354" t="s">
        <v>509</v>
      </c>
    </row>
    <row r="3" spans="1:4" ht="27.95" customHeight="1">
      <c r="A3" s="355" t="s">
        <v>455</v>
      </c>
      <c r="B3" s="334" t="s">
        <v>34</v>
      </c>
      <c r="C3" s="356" t="s">
        <v>5</v>
      </c>
      <c r="D3" s="357" t="s">
        <v>456</v>
      </c>
    </row>
    <row r="4" spans="1:4" ht="15.95" customHeight="1">
      <c r="A4" s="358" t="s">
        <v>510</v>
      </c>
      <c r="B4" s="359"/>
      <c r="C4" s="360"/>
      <c r="D4" s="361"/>
    </row>
    <row r="5" spans="1:4" ht="15.95" customHeight="1">
      <c r="A5" s="362" t="s">
        <v>458</v>
      </c>
      <c r="B5" s="363">
        <v>117.35</v>
      </c>
      <c r="C5" s="364">
        <v>-2.6</v>
      </c>
      <c r="D5" s="365" t="s">
        <v>459</v>
      </c>
    </row>
    <row r="6" spans="1:4" ht="15.95" customHeight="1">
      <c r="A6" s="362" t="s">
        <v>460</v>
      </c>
      <c r="B6" s="363">
        <v>104.38</v>
      </c>
      <c r="C6" s="364">
        <v>2.1</v>
      </c>
      <c r="D6" s="361">
        <v>3</v>
      </c>
    </row>
    <row r="7" spans="1:4" ht="15.95" customHeight="1">
      <c r="A7" s="366" t="s">
        <v>461</v>
      </c>
      <c r="B7" s="363">
        <v>112.7</v>
      </c>
      <c r="C7" s="364">
        <v>1.8</v>
      </c>
      <c r="D7" s="361">
        <v>4</v>
      </c>
    </row>
    <row r="8" spans="1:4" ht="15.95" customHeight="1">
      <c r="A8" s="367" t="s">
        <v>462</v>
      </c>
      <c r="B8" s="363">
        <v>155.9</v>
      </c>
      <c r="C8" s="364">
        <v>-45.1</v>
      </c>
      <c r="D8" s="361">
        <v>10</v>
      </c>
    </row>
    <row r="9" spans="1:4" ht="15.95" customHeight="1">
      <c r="A9" s="366" t="s">
        <v>463</v>
      </c>
      <c r="B9" s="363">
        <v>118.09</v>
      </c>
      <c r="C9" s="364">
        <v>-2.9</v>
      </c>
      <c r="D9" s="361">
        <v>6</v>
      </c>
    </row>
    <row r="10" spans="1:4" ht="15.95" customHeight="1">
      <c r="A10" s="366" t="s">
        <v>465</v>
      </c>
      <c r="B10" s="363">
        <v>97.21</v>
      </c>
      <c r="C10" s="364">
        <v>3.9</v>
      </c>
      <c r="D10" s="361">
        <v>2</v>
      </c>
    </row>
    <row r="11" spans="1:4" ht="15.95" customHeight="1">
      <c r="A11" s="366" t="s">
        <v>466</v>
      </c>
      <c r="B11" s="363">
        <v>164.6</v>
      </c>
      <c r="C11" s="364">
        <v>-31.8</v>
      </c>
      <c r="D11" s="361">
        <v>9</v>
      </c>
    </row>
    <row r="12" spans="1:4" ht="15.95" customHeight="1">
      <c r="A12" s="368" t="s">
        <v>467</v>
      </c>
      <c r="B12" s="363">
        <v>105.8</v>
      </c>
      <c r="C12" s="364">
        <v>23.7</v>
      </c>
      <c r="D12" s="361">
        <v>1</v>
      </c>
    </row>
    <row r="13" spans="1:4" ht="15.95" customHeight="1">
      <c r="A13" s="368" t="s">
        <v>468</v>
      </c>
      <c r="B13" s="363">
        <v>89.77</v>
      </c>
      <c r="C13" s="364">
        <v>-20.6</v>
      </c>
      <c r="D13" s="361">
        <v>8</v>
      </c>
    </row>
    <row r="14" spans="1:4" ht="15.95" customHeight="1">
      <c r="A14" s="368" t="s">
        <v>469</v>
      </c>
      <c r="B14" s="363">
        <v>116.14</v>
      </c>
      <c r="C14" s="364">
        <v>-20.100000000000001</v>
      </c>
      <c r="D14" s="361">
        <v>7</v>
      </c>
    </row>
    <row r="15" spans="1:4" s="50" customFormat="1" ht="15.95" customHeight="1">
      <c r="A15" s="368" t="s">
        <v>480</v>
      </c>
      <c r="B15" s="363">
        <v>115.92</v>
      </c>
      <c r="C15" s="364">
        <v>1.1000000000000001</v>
      </c>
      <c r="D15" s="361">
        <v>5</v>
      </c>
    </row>
    <row r="16" spans="1:4" ht="15.95" customHeight="1">
      <c r="A16" s="358" t="s">
        <v>511</v>
      </c>
      <c r="B16" s="363"/>
      <c r="C16" s="364"/>
      <c r="D16" s="361"/>
    </row>
    <row r="17" spans="1:4" ht="15.95" customHeight="1">
      <c r="A17" s="362" t="s">
        <v>458</v>
      </c>
      <c r="B17" s="363">
        <v>65.92</v>
      </c>
      <c r="C17" s="364">
        <v>-4.0999999999999996</v>
      </c>
      <c r="D17" s="365" t="s">
        <v>459</v>
      </c>
    </row>
    <row r="18" spans="1:4" ht="15.95" customHeight="1">
      <c r="A18" s="362" t="s">
        <v>460</v>
      </c>
      <c r="B18" s="363">
        <v>46.12</v>
      </c>
      <c r="C18" s="364">
        <v>-6.8</v>
      </c>
      <c r="D18" s="361">
        <v>8</v>
      </c>
    </row>
    <row r="19" spans="1:4" ht="15.95" customHeight="1">
      <c r="A19" s="366" t="s">
        <v>461</v>
      </c>
      <c r="B19" s="363">
        <v>57.6</v>
      </c>
      <c r="C19" s="364">
        <v>2.2999999999999998</v>
      </c>
      <c r="D19" s="361">
        <v>2</v>
      </c>
    </row>
    <row r="20" spans="1:4" ht="15.95" customHeight="1">
      <c r="A20" s="367" t="s">
        <v>462</v>
      </c>
      <c r="B20" s="363">
        <v>76.2</v>
      </c>
      <c r="C20" s="364">
        <v>-9.3000000000000007</v>
      </c>
      <c r="D20" s="361">
        <v>10</v>
      </c>
    </row>
    <row r="21" spans="1:4" ht="15.95" customHeight="1">
      <c r="A21" s="366" t="s">
        <v>463</v>
      </c>
      <c r="B21" s="363">
        <v>58.37</v>
      </c>
      <c r="C21" s="364">
        <v>-6.9</v>
      </c>
      <c r="D21" s="361">
        <v>9</v>
      </c>
    </row>
    <row r="22" spans="1:4" ht="15.95" customHeight="1">
      <c r="A22" s="366" t="s">
        <v>465</v>
      </c>
      <c r="B22" s="363">
        <v>56.65</v>
      </c>
      <c r="C22" s="364">
        <v>10.199999999999999</v>
      </c>
      <c r="D22" s="361">
        <v>1</v>
      </c>
    </row>
    <row r="23" spans="1:4" ht="15.95" customHeight="1">
      <c r="A23" s="366" t="s">
        <v>466</v>
      </c>
      <c r="B23" s="363">
        <v>74.14</v>
      </c>
      <c r="C23" s="364">
        <v>-6.4</v>
      </c>
      <c r="D23" s="361">
        <v>7</v>
      </c>
    </row>
    <row r="24" spans="1:4" ht="15.95" customHeight="1">
      <c r="A24" s="368" t="s">
        <v>467</v>
      </c>
      <c r="B24" s="363">
        <v>101.19</v>
      </c>
      <c r="C24" s="364">
        <v>-0.1</v>
      </c>
      <c r="D24" s="361">
        <v>5</v>
      </c>
    </row>
    <row r="25" spans="1:4" ht="15.95" customHeight="1">
      <c r="A25" s="368" t="s">
        <v>468</v>
      </c>
      <c r="B25" s="363">
        <v>87.03</v>
      </c>
      <c r="C25" s="364">
        <v>1.6</v>
      </c>
      <c r="D25" s="361">
        <v>4</v>
      </c>
    </row>
    <row r="26" spans="1:4" ht="15.95" customHeight="1">
      <c r="A26" s="368" t="s">
        <v>469</v>
      </c>
      <c r="B26" s="363">
        <v>64.39</v>
      </c>
      <c r="C26" s="364">
        <v>1.6</v>
      </c>
      <c r="D26" s="361">
        <v>3</v>
      </c>
    </row>
    <row r="27" spans="1:4" ht="15.95" customHeight="1">
      <c r="A27" s="369" t="s">
        <v>480</v>
      </c>
      <c r="B27" s="363">
        <v>55.42</v>
      </c>
      <c r="C27" s="364">
        <v>-6.3</v>
      </c>
      <c r="D27" s="361">
        <v>6</v>
      </c>
    </row>
  </sheetData>
  <sheetProtection password="DC9E" sheet="1" objects="1" scenarios="1"/>
  <mergeCells count="1">
    <mergeCell ref="A1:D1"/>
  </mergeCells>
  <phoneticPr fontId="11" type="noConversion"/>
  <pageMargins left="0.75" right="0.75" top="1" bottom="1" header="0.50902777777777797" footer="0.50902777777777797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theme="5"/>
  </sheetPr>
  <dimension ref="A1:E44"/>
  <sheetViews>
    <sheetView zoomScale="90" zoomScaleNormal="90" workbookViewId="0">
      <selection activeCell="B3" sqref="B3"/>
    </sheetView>
  </sheetViews>
  <sheetFormatPr defaultColWidth="9" defaultRowHeight="14.25"/>
  <cols>
    <col min="1" max="1" width="41" style="43" customWidth="1"/>
    <col min="2" max="2" width="13.125" style="42" customWidth="1"/>
    <col min="3" max="3" width="13.125" style="331" customWidth="1"/>
    <col min="4" max="4" width="13.125" style="42" customWidth="1"/>
    <col min="5" max="5" width="9.75" style="42" customWidth="1"/>
    <col min="6" max="16384" width="9" style="42"/>
  </cols>
  <sheetData>
    <row r="1" spans="1:5" ht="34.5" customHeight="1">
      <c r="A1" s="1135" t="s">
        <v>512</v>
      </c>
      <c r="B1" s="1135"/>
      <c r="C1" s="1135"/>
      <c r="D1" s="1135"/>
    </row>
    <row r="2" spans="1:5" ht="20.25" customHeight="1">
      <c r="A2" s="332"/>
      <c r="B2" s="332"/>
      <c r="C2" s="1136" t="s">
        <v>509</v>
      </c>
      <c r="D2" s="1136"/>
    </row>
    <row r="3" spans="1:5" ht="28.5" customHeight="1">
      <c r="A3" s="333" t="s">
        <v>455</v>
      </c>
      <c r="B3" s="334" t="s">
        <v>34</v>
      </c>
      <c r="C3" s="335" t="s">
        <v>5</v>
      </c>
      <c r="D3" s="336" t="s">
        <v>456</v>
      </c>
      <c r="E3" s="50"/>
    </row>
    <row r="4" spans="1:5" ht="18" customHeight="1">
      <c r="A4" s="337" t="s">
        <v>513</v>
      </c>
      <c r="B4" s="338"/>
      <c r="C4" s="339"/>
      <c r="D4" s="338"/>
    </row>
    <row r="5" spans="1:5" ht="18" customHeight="1">
      <c r="A5" s="340" t="s">
        <v>458</v>
      </c>
      <c r="B5" s="341">
        <v>2.37</v>
      </c>
      <c r="C5" s="342">
        <v>0</v>
      </c>
      <c r="D5" s="343" t="s">
        <v>459</v>
      </c>
    </row>
    <row r="6" spans="1:5" ht="18" customHeight="1">
      <c r="A6" s="340" t="s">
        <v>460</v>
      </c>
      <c r="B6" s="341">
        <v>0.98</v>
      </c>
      <c r="C6" s="342">
        <v>0.1</v>
      </c>
      <c r="D6" s="344">
        <v>6</v>
      </c>
    </row>
    <row r="7" spans="1:5" ht="18" customHeight="1">
      <c r="A7" s="345" t="s">
        <v>461</v>
      </c>
      <c r="B7" s="341">
        <v>2.82</v>
      </c>
      <c r="C7" s="342">
        <v>-0.1</v>
      </c>
      <c r="D7" s="344">
        <v>7</v>
      </c>
    </row>
    <row r="8" spans="1:5" ht="18" customHeight="1">
      <c r="A8" s="346" t="s">
        <v>462</v>
      </c>
      <c r="B8" s="341">
        <v>6.86</v>
      </c>
      <c r="C8" s="342">
        <v>1</v>
      </c>
      <c r="D8" s="344">
        <v>1</v>
      </c>
    </row>
    <row r="9" spans="1:5" ht="18" customHeight="1">
      <c r="A9" s="345" t="s">
        <v>463</v>
      </c>
      <c r="B9" s="341">
        <v>3.22</v>
      </c>
      <c r="C9" s="342">
        <v>0.3</v>
      </c>
      <c r="D9" s="344">
        <v>3</v>
      </c>
    </row>
    <row r="10" spans="1:5" ht="18" customHeight="1">
      <c r="A10" s="345" t="s">
        <v>465</v>
      </c>
      <c r="B10" s="341">
        <v>3.67</v>
      </c>
      <c r="C10" s="342">
        <v>-2.9</v>
      </c>
      <c r="D10" s="344">
        <v>10</v>
      </c>
    </row>
    <row r="11" spans="1:5" ht="18" customHeight="1">
      <c r="A11" s="345" t="s">
        <v>466</v>
      </c>
      <c r="B11" s="341">
        <v>0.88</v>
      </c>
      <c r="C11" s="342">
        <v>0.2</v>
      </c>
      <c r="D11" s="344">
        <v>4</v>
      </c>
    </row>
    <row r="12" spans="1:5" ht="18" customHeight="1">
      <c r="A12" s="347" t="s">
        <v>467</v>
      </c>
      <c r="B12" s="341">
        <v>0.38</v>
      </c>
      <c r="C12" s="342">
        <v>-0.1</v>
      </c>
      <c r="D12" s="344">
        <v>7</v>
      </c>
    </row>
    <row r="13" spans="1:5" ht="18" customHeight="1">
      <c r="A13" s="347" t="s">
        <v>468</v>
      </c>
      <c r="B13" s="341">
        <v>1.65</v>
      </c>
      <c r="C13" s="342">
        <v>0.5</v>
      </c>
      <c r="D13" s="344">
        <v>2</v>
      </c>
    </row>
    <row r="14" spans="1:5" ht="18" customHeight="1">
      <c r="A14" s="347" t="s">
        <v>469</v>
      </c>
      <c r="B14" s="341">
        <v>4.8</v>
      </c>
      <c r="C14" s="342">
        <v>-0.8</v>
      </c>
      <c r="D14" s="344">
        <v>9</v>
      </c>
    </row>
    <row r="15" spans="1:5" ht="18" customHeight="1">
      <c r="A15" s="347" t="s">
        <v>480</v>
      </c>
      <c r="B15" s="341">
        <v>2.2200000000000002</v>
      </c>
      <c r="C15" s="342">
        <v>0.2</v>
      </c>
      <c r="D15" s="344">
        <v>4</v>
      </c>
    </row>
    <row r="16" spans="1:5" ht="18" customHeight="1">
      <c r="A16" s="348" t="s">
        <v>514</v>
      </c>
      <c r="B16" s="341"/>
      <c r="C16" s="342"/>
      <c r="D16" s="344"/>
      <c r="E16" s="50"/>
    </row>
    <row r="17" spans="1:5" ht="18" customHeight="1">
      <c r="A17" s="340" t="s">
        <v>458</v>
      </c>
      <c r="B17" s="341">
        <v>11.44</v>
      </c>
      <c r="C17" s="342">
        <v>2.9</v>
      </c>
      <c r="D17" s="343" t="s">
        <v>459</v>
      </c>
      <c r="E17" s="50"/>
    </row>
    <row r="18" spans="1:5" ht="18" customHeight="1">
      <c r="A18" s="340" t="s">
        <v>460</v>
      </c>
      <c r="B18" s="341">
        <v>4.96</v>
      </c>
      <c r="C18" s="342">
        <v>1.5</v>
      </c>
      <c r="D18" s="344">
        <v>4</v>
      </c>
      <c r="E18" s="50"/>
    </row>
    <row r="19" spans="1:5" ht="18" customHeight="1">
      <c r="A19" s="345" t="s">
        <v>461</v>
      </c>
      <c r="B19" s="341">
        <v>6.11</v>
      </c>
      <c r="C19" s="342">
        <v>-2.2000000000000002</v>
      </c>
      <c r="D19" s="344">
        <v>8</v>
      </c>
      <c r="E19" s="50"/>
    </row>
    <row r="20" spans="1:5" ht="18" customHeight="1">
      <c r="A20" s="346" t="s">
        <v>462</v>
      </c>
      <c r="B20" s="341">
        <v>73.849999999999994</v>
      </c>
      <c r="C20" s="342">
        <v>26.2</v>
      </c>
      <c r="D20" s="344">
        <v>1</v>
      </c>
      <c r="E20" s="50"/>
    </row>
    <row r="21" spans="1:5" ht="18" customHeight="1">
      <c r="A21" s="345" t="s">
        <v>463</v>
      </c>
      <c r="B21" s="341">
        <v>13.75</v>
      </c>
      <c r="C21" s="342">
        <v>4.5</v>
      </c>
      <c r="D21" s="344">
        <v>2</v>
      </c>
      <c r="E21" s="50"/>
    </row>
    <row r="22" spans="1:5" ht="18" customHeight="1">
      <c r="A22" s="345" t="s">
        <v>465</v>
      </c>
      <c r="B22" s="341">
        <v>2.64</v>
      </c>
      <c r="C22" s="342">
        <v>0.5</v>
      </c>
      <c r="D22" s="344">
        <v>6</v>
      </c>
      <c r="E22" s="50"/>
    </row>
    <row r="23" spans="1:5" ht="18" customHeight="1">
      <c r="A23" s="345" t="s">
        <v>466</v>
      </c>
      <c r="B23" s="341">
        <v>11.47</v>
      </c>
      <c r="C23" s="342">
        <v>-2.7</v>
      </c>
      <c r="D23" s="344">
        <v>9</v>
      </c>
      <c r="E23" s="50"/>
    </row>
    <row r="24" spans="1:5" ht="18" customHeight="1">
      <c r="A24" s="347" t="s">
        <v>467</v>
      </c>
      <c r="B24" s="341">
        <v>-5.98</v>
      </c>
      <c r="C24" s="342">
        <v>-7.1</v>
      </c>
      <c r="D24" s="344">
        <v>10</v>
      </c>
      <c r="E24" s="50"/>
    </row>
    <row r="25" spans="1:5" ht="18" customHeight="1">
      <c r="A25" s="347" t="s">
        <v>468</v>
      </c>
      <c r="B25" s="341">
        <v>0.42</v>
      </c>
      <c r="C25" s="342">
        <v>0.8</v>
      </c>
      <c r="D25" s="344">
        <v>5</v>
      </c>
      <c r="E25" s="50"/>
    </row>
    <row r="26" spans="1:5" ht="18" customHeight="1">
      <c r="A26" s="347" t="s">
        <v>469</v>
      </c>
      <c r="B26" s="341">
        <v>1.85</v>
      </c>
      <c r="C26" s="342">
        <v>-0.1</v>
      </c>
      <c r="D26" s="344">
        <v>7</v>
      </c>
      <c r="E26" s="50"/>
    </row>
    <row r="27" spans="1:5" ht="18" customHeight="1">
      <c r="A27" s="347" t="s">
        <v>480</v>
      </c>
      <c r="B27" s="341">
        <v>13.35</v>
      </c>
      <c r="C27" s="342">
        <v>4.0999999999999996</v>
      </c>
      <c r="D27" s="344">
        <v>3</v>
      </c>
      <c r="E27" s="50"/>
    </row>
    <row r="28" spans="1:5">
      <c r="A28" s="1123"/>
      <c r="B28" s="1123"/>
      <c r="C28" s="1123"/>
      <c r="D28" s="1123"/>
    </row>
    <row r="34" spans="1:1">
      <c r="A34" s="349"/>
    </row>
    <row r="35" spans="1:1">
      <c r="A35" s="349"/>
    </row>
    <row r="36" spans="1:1">
      <c r="A36" s="349"/>
    </row>
    <row r="37" spans="1:1">
      <c r="A37" s="350"/>
    </row>
    <row r="38" spans="1:1">
      <c r="A38" s="351"/>
    </row>
    <row r="39" spans="1:1">
      <c r="A39" s="351"/>
    </row>
    <row r="40" spans="1:1">
      <c r="A40" s="351"/>
    </row>
    <row r="41" spans="1:1">
      <c r="A41" s="351"/>
    </row>
    <row r="42" spans="1:1">
      <c r="A42" s="352"/>
    </row>
    <row r="43" spans="1:1">
      <c r="A43" s="50"/>
    </row>
    <row r="44" spans="1:1">
      <c r="A44" s="349"/>
    </row>
  </sheetData>
  <sheetProtection password="DC9E" sheet="1" objects="1" scenarios="1"/>
  <mergeCells count="3">
    <mergeCell ref="A1:D1"/>
    <mergeCell ref="C2:D2"/>
    <mergeCell ref="A28:D28"/>
  </mergeCells>
  <phoneticPr fontId="11" type="noConversion"/>
  <pageMargins left="0.75" right="0.75" top="0.58888888888888902" bottom="0.58888888888888902" header="0.50902777777777797" footer="0.50902777777777797"/>
  <pageSetup paperSize="9" orientation="portrait"/>
  <headerFooter scaleWithDoc="0"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C00000"/>
  </sheetPr>
  <dimension ref="A1:E44"/>
  <sheetViews>
    <sheetView zoomScale="80" zoomScaleNormal="80" workbookViewId="0">
      <selection activeCell="K25" sqref="K25"/>
    </sheetView>
  </sheetViews>
  <sheetFormatPr defaultColWidth="9" defaultRowHeight="14.25"/>
  <cols>
    <col min="1" max="1" width="41" style="252" customWidth="1"/>
    <col min="2" max="2" width="13.125" style="253" customWidth="1"/>
    <col min="3" max="3" width="13.125" style="302" customWidth="1"/>
    <col min="4" max="4" width="13.125" style="253" customWidth="1"/>
    <col min="5" max="5" width="9.75" style="253" customWidth="1"/>
    <col min="6" max="16384" width="9" style="253"/>
  </cols>
  <sheetData>
    <row r="1" spans="1:5" ht="34.5" customHeight="1">
      <c r="A1" s="1137" t="s">
        <v>515</v>
      </c>
      <c r="B1" s="1137"/>
      <c r="C1" s="1137"/>
      <c r="D1" s="1137"/>
    </row>
    <row r="2" spans="1:5" ht="20.25" customHeight="1">
      <c r="A2" s="303"/>
      <c r="B2" s="303"/>
      <c r="C2" s="303"/>
      <c r="D2" s="304" t="s">
        <v>454</v>
      </c>
    </row>
    <row r="3" spans="1:5" ht="28.5" customHeight="1">
      <c r="A3" s="305" t="s">
        <v>455</v>
      </c>
      <c r="B3" s="306" t="s">
        <v>82</v>
      </c>
      <c r="C3" s="307" t="s">
        <v>5</v>
      </c>
      <c r="D3" s="308" t="s">
        <v>456</v>
      </c>
      <c r="E3" s="309"/>
    </row>
    <row r="4" spans="1:5" ht="18" customHeight="1">
      <c r="A4" s="310" t="s">
        <v>516</v>
      </c>
      <c r="B4" s="311"/>
      <c r="C4" s="312"/>
      <c r="D4" s="313"/>
      <c r="E4" s="309"/>
    </row>
    <row r="5" spans="1:5" ht="18" customHeight="1">
      <c r="A5" s="314" t="s">
        <v>458</v>
      </c>
      <c r="B5" s="311">
        <v>298.7004</v>
      </c>
      <c r="C5" s="315">
        <v>8.1</v>
      </c>
      <c r="D5" s="316" t="s">
        <v>459</v>
      </c>
      <c r="E5" s="309"/>
    </row>
    <row r="6" spans="1:5" ht="18" customHeight="1">
      <c r="A6" s="314" t="s">
        <v>460</v>
      </c>
      <c r="B6" s="311">
        <v>73.692599999999999</v>
      </c>
      <c r="C6" s="315">
        <v>8.5</v>
      </c>
      <c r="D6" s="317">
        <v>5</v>
      </c>
      <c r="E6" s="309"/>
    </row>
    <row r="7" spans="1:5" ht="18" customHeight="1">
      <c r="A7" s="318" t="s">
        <v>461</v>
      </c>
      <c r="B7" s="311">
        <v>76.863600000000005</v>
      </c>
      <c r="C7" s="315">
        <v>7.9</v>
      </c>
      <c r="D7" s="317">
        <v>6</v>
      </c>
      <c r="E7" s="309"/>
    </row>
    <row r="8" spans="1:5" ht="18" customHeight="1">
      <c r="A8" s="319" t="s">
        <v>462</v>
      </c>
      <c r="B8" s="311">
        <v>8.1158000000000001</v>
      </c>
      <c r="C8" s="315">
        <v>8.8000000000000007</v>
      </c>
      <c r="D8" s="317">
        <v>3</v>
      </c>
      <c r="E8" s="309"/>
    </row>
    <row r="9" spans="1:5" ht="18" customHeight="1">
      <c r="A9" s="318" t="s">
        <v>463</v>
      </c>
      <c r="B9" s="311">
        <v>13.0054</v>
      </c>
      <c r="C9" s="315">
        <v>9.3000000000000007</v>
      </c>
      <c r="D9" s="317">
        <v>1</v>
      </c>
      <c r="E9" s="309"/>
    </row>
    <row r="10" spans="1:5" ht="18" customHeight="1">
      <c r="A10" s="318" t="s">
        <v>464</v>
      </c>
      <c r="B10" s="311">
        <v>31.589700000000001</v>
      </c>
      <c r="C10" s="315">
        <v>6.6</v>
      </c>
      <c r="D10" s="317">
        <v>9</v>
      </c>
      <c r="E10" s="309"/>
    </row>
    <row r="11" spans="1:5" ht="18" customHeight="1">
      <c r="A11" s="318" t="s">
        <v>465</v>
      </c>
      <c r="B11" s="311">
        <v>24.7211</v>
      </c>
      <c r="C11" s="315">
        <v>8.8000000000000007</v>
      </c>
      <c r="D11" s="317">
        <v>3</v>
      </c>
      <c r="E11" s="309"/>
    </row>
    <row r="12" spans="1:5" ht="18" customHeight="1">
      <c r="A12" s="318" t="s">
        <v>466</v>
      </c>
      <c r="B12" s="311">
        <v>15.8771</v>
      </c>
      <c r="C12" s="315">
        <v>6.2</v>
      </c>
      <c r="D12" s="317">
        <v>10</v>
      </c>
      <c r="E12" s="309"/>
    </row>
    <row r="13" spans="1:5" ht="18" customHeight="1">
      <c r="A13" s="318" t="s">
        <v>467</v>
      </c>
      <c r="B13" s="311">
        <v>28.447099999999999</v>
      </c>
      <c r="C13" s="315">
        <v>7.6</v>
      </c>
      <c r="D13" s="317">
        <v>7</v>
      </c>
      <c r="E13" s="309"/>
    </row>
    <row r="14" spans="1:5" ht="18" customHeight="1">
      <c r="A14" s="318" t="s">
        <v>468</v>
      </c>
      <c r="B14" s="311">
        <v>21.383700000000001</v>
      </c>
      <c r="C14" s="315">
        <v>6.8</v>
      </c>
      <c r="D14" s="317">
        <v>8</v>
      </c>
      <c r="E14" s="309"/>
    </row>
    <row r="15" spans="1:5" ht="18" customHeight="1">
      <c r="A15" s="318" t="s">
        <v>469</v>
      </c>
      <c r="B15" s="311">
        <v>36.594700000000003</v>
      </c>
      <c r="C15" s="315">
        <v>9.1</v>
      </c>
      <c r="D15" s="317">
        <v>2</v>
      </c>
      <c r="E15" s="309"/>
    </row>
    <row r="16" spans="1:5" ht="18" customHeight="1">
      <c r="A16" s="320" t="s">
        <v>517</v>
      </c>
      <c r="B16" s="321"/>
      <c r="C16" s="322"/>
      <c r="D16" s="323"/>
    </row>
    <row r="17" spans="1:4" ht="18" customHeight="1">
      <c r="A17" s="314" t="s">
        <v>458</v>
      </c>
      <c r="B17" s="311"/>
      <c r="C17" s="315">
        <v>16.100000000000001</v>
      </c>
      <c r="D17" s="324" t="s">
        <v>459</v>
      </c>
    </row>
    <row r="18" spans="1:4" ht="18" customHeight="1">
      <c r="A18" s="314" t="s">
        <v>460</v>
      </c>
      <c r="B18" s="311"/>
      <c r="C18" s="315">
        <v>14.1</v>
      </c>
      <c r="D18" s="325">
        <v>7</v>
      </c>
    </row>
    <row r="19" spans="1:4" ht="18" customHeight="1">
      <c r="A19" s="318" t="s">
        <v>461</v>
      </c>
      <c r="B19" s="311"/>
      <c r="C19" s="315">
        <v>21.1</v>
      </c>
      <c r="D19" s="325">
        <v>3</v>
      </c>
    </row>
    <row r="20" spans="1:4" ht="18" customHeight="1">
      <c r="A20" s="319" t="s">
        <v>462</v>
      </c>
      <c r="B20" s="311"/>
      <c r="C20" s="315">
        <v>29.8</v>
      </c>
      <c r="D20" s="325">
        <v>1</v>
      </c>
    </row>
    <row r="21" spans="1:4" ht="18" customHeight="1">
      <c r="A21" s="318" t="s">
        <v>463</v>
      </c>
      <c r="B21" s="311"/>
      <c r="C21" s="315">
        <v>14.5</v>
      </c>
      <c r="D21" s="325">
        <v>5</v>
      </c>
    </row>
    <row r="22" spans="1:4" ht="18" customHeight="1">
      <c r="A22" s="318" t="s">
        <v>464</v>
      </c>
      <c r="B22" s="311"/>
      <c r="C22" s="315">
        <v>6.3</v>
      </c>
      <c r="D22" s="325">
        <v>10</v>
      </c>
    </row>
    <row r="23" spans="1:4" ht="18" customHeight="1">
      <c r="A23" s="318" t="s">
        <v>465</v>
      </c>
      <c r="B23" s="311"/>
      <c r="C23" s="315">
        <v>12.3</v>
      </c>
      <c r="D23" s="325">
        <v>8</v>
      </c>
    </row>
    <row r="24" spans="1:4" ht="18" customHeight="1">
      <c r="A24" s="318" t="s">
        <v>466</v>
      </c>
      <c r="B24" s="311"/>
      <c r="C24" s="315">
        <v>21.2</v>
      </c>
      <c r="D24" s="325">
        <v>2</v>
      </c>
    </row>
    <row r="25" spans="1:4" ht="18" customHeight="1">
      <c r="A25" s="318" t="s">
        <v>467</v>
      </c>
      <c r="B25" s="326"/>
      <c r="C25" s="327">
        <v>14.4</v>
      </c>
      <c r="D25" s="325">
        <v>6</v>
      </c>
    </row>
    <row r="26" spans="1:4" ht="18" customHeight="1">
      <c r="A26" s="318" t="s">
        <v>479</v>
      </c>
      <c r="B26" s="311"/>
      <c r="C26" s="315">
        <v>-90.5</v>
      </c>
      <c r="D26" s="325" t="s">
        <v>8</v>
      </c>
    </row>
    <row r="27" spans="1:4" ht="18" customHeight="1">
      <c r="A27" s="318" t="s">
        <v>468</v>
      </c>
      <c r="B27" s="311"/>
      <c r="C27" s="315">
        <v>20.399999999999999</v>
      </c>
      <c r="D27" s="325">
        <v>4</v>
      </c>
    </row>
    <row r="28" spans="1:4">
      <c r="A28" s="318" t="s">
        <v>469</v>
      </c>
      <c r="B28" s="311"/>
      <c r="C28" s="315">
        <v>11.1</v>
      </c>
      <c r="D28" s="325">
        <v>9</v>
      </c>
    </row>
    <row r="34" spans="1:1">
      <c r="A34" s="328"/>
    </row>
    <row r="35" spans="1:1">
      <c r="A35" s="328"/>
    </row>
    <row r="36" spans="1:1">
      <c r="A36" s="328"/>
    </row>
    <row r="37" spans="1:1">
      <c r="A37" s="329"/>
    </row>
    <row r="38" spans="1:1">
      <c r="A38" s="330"/>
    </row>
    <row r="39" spans="1:1">
      <c r="A39" s="330"/>
    </row>
    <row r="40" spans="1:1">
      <c r="A40" s="330"/>
    </row>
    <row r="41" spans="1:1">
      <c r="A41" s="330"/>
    </row>
    <row r="42" spans="1:1">
      <c r="A42" s="330"/>
    </row>
    <row r="43" spans="1:1">
      <c r="A43" s="309"/>
    </row>
    <row r="44" spans="1:1">
      <c r="A44" s="328"/>
    </row>
  </sheetData>
  <sheetProtection password="DC9E" sheet="1" objects="1" scenarios="1"/>
  <mergeCells count="1">
    <mergeCell ref="A1:D1"/>
  </mergeCells>
  <phoneticPr fontId="11" type="noConversion"/>
  <pageMargins left="0.75" right="0.75" top="0.58888888888888902" bottom="0.58888888888888902" header="0.50902777777777797" footer="0.50902777777777797"/>
  <pageSetup paperSize="9" scale="99" orientation="portrait"/>
  <headerFooter scaleWithDoc="0"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C00000"/>
  </sheetPr>
  <dimension ref="A1:E28"/>
  <sheetViews>
    <sheetView workbookViewId="0">
      <selection activeCell="E6" sqref="E6"/>
    </sheetView>
  </sheetViews>
  <sheetFormatPr defaultColWidth="9" defaultRowHeight="14.25"/>
  <cols>
    <col min="1" max="1" width="31.75" style="252" customWidth="1"/>
    <col min="2" max="2" width="13.125" style="253" customWidth="1"/>
    <col min="3" max="3" width="12.75" style="253" customWidth="1"/>
    <col min="4" max="4" width="16" style="253" customWidth="1"/>
    <col min="5" max="16384" width="9" style="253"/>
  </cols>
  <sheetData>
    <row r="1" spans="1:4" ht="33.75" customHeight="1">
      <c r="A1" s="1138" t="s">
        <v>518</v>
      </c>
      <c r="B1" s="1138"/>
      <c r="C1" s="1138"/>
      <c r="D1" s="1138"/>
    </row>
    <row r="2" spans="1:4" ht="20.25" customHeight="1">
      <c r="A2" s="275"/>
      <c r="B2" s="275"/>
      <c r="C2" s="275"/>
      <c r="D2" s="276" t="s">
        <v>454</v>
      </c>
    </row>
    <row r="3" spans="1:4" ht="31.5" customHeight="1">
      <c r="A3" s="277" t="s">
        <v>455</v>
      </c>
      <c r="B3" s="278" t="s">
        <v>82</v>
      </c>
      <c r="C3" s="279" t="s">
        <v>5</v>
      </c>
      <c r="D3" s="280" t="s">
        <v>456</v>
      </c>
    </row>
    <row r="4" spans="1:4" ht="18" customHeight="1">
      <c r="A4" s="281" t="s">
        <v>519</v>
      </c>
      <c r="B4" s="282"/>
      <c r="C4" s="283"/>
      <c r="D4" s="284"/>
    </row>
    <row r="5" spans="1:4" ht="18" customHeight="1">
      <c r="A5" s="285" t="s">
        <v>458</v>
      </c>
      <c r="B5" s="286"/>
      <c r="C5" s="287">
        <v>32.1</v>
      </c>
      <c r="D5" s="288" t="s">
        <v>459</v>
      </c>
    </row>
    <row r="6" spans="1:4" ht="18" customHeight="1">
      <c r="A6" s="285" t="s">
        <v>460</v>
      </c>
      <c r="B6" s="286"/>
      <c r="C6" s="287">
        <v>108.3</v>
      </c>
      <c r="D6" s="289">
        <f>RANK(C6,($C$6:$C$15),0)</f>
        <v>3</v>
      </c>
    </row>
    <row r="7" spans="1:4" ht="18" customHeight="1">
      <c r="A7" s="290" t="s">
        <v>461</v>
      </c>
      <c r="B7" s="286"/>
      <c r="C7" s="287">
        <v>-59.2</v>
      </c>
      <c r="D7" s="289">
        <f t="shared" ref="D7:D15" si="0">RANK(C7,($C$6:$C$15),0)</f>
        <v>10</v>
      </c>
    </row>
    <row r="8" spans="1:4" ht="18" customHeight="1">
      <c r="A8" s="291" t="s">
        <v>462</v>
      </c>
      <c r="B8" s="286"/>
      <c r="C8" s="287">
        <v>91328.3</v>
      </c>
      <c r="D8" s="289">
        <f t="shared" si="0"/>
        <v>1</v>
      </c>
    </row>
    <row r="9" spans="1:4" ht="18" customHeight="1">
      <c r="A9" s="290" t="s">
        <v>463</v>
      </c>
      <c r="B9" s="286"/>
      <c r="C9" s="287">
        <v>17.2</v>
      </c>
      <c r="D9" s="289">
        <f t="shared" si="0"/>
        <v>6</v>
      </c>
    </row>
    <row r="10" spans="1:4" ht="18" customHeight="1">
      <c r="A10" s="290" t="s">
        <v>464</v>
      </c>
      <c r="B10" s="292"/>
      <c r="C10" s="293">
        <v>70.8</v>
      </c>
      <c r="D10" s="289">
        <f t="shared" si="0"/>
        <v>4</v>
      </c>
    </row>
    <row r="11" spans="1:4" ht="18" customHeight="1">
      <c r="A11" s="290" t="s">
        <v>465</v>
      </c>
      <c r="B11" s="286"/>
      <c r="C11" s="287">
        <v>-45.3</v>
      </c>
      <c r="D11" s="289">
        <f t="shared" si="0"/>
        <v>9</v>
      </c>
    </row>
    <row r="12" spans="1:4" ht="18" customHeight="1">
      <c r="A12" s="290" t="s">
        <v>466</v>
      </c>
      <c r="B12" s="286"/>
      <c r="C12" s="287">
        <v>69.099999999999994</v>
      </c>
      <c r="D12" s="289">
        <f t="shared" si="0"/>
        <v>5</v>
      </c>
    </row>
    <row r="13" spans="1:4" ht="18" customHeight="1">
      <c r="A13" s="290" t="s">
        <v>467</v>
      </c>
      <c r="B13" s="286"/>
      <c r="C13" s="287">
        <v>-43.2</v>
      </c>
      <c r="D13" s="289">
        <f t="shared" si="0"/>
        <v>8</v>
      </c>
    </row>
    <row r="14" spans="1:4" ht="18" customHeight="1">
      <c r="A14" s="290" t="s">
        <v>468</v>
      </c>
      <c r="B14" s="286"/>
      <c r="C14" s="287">
        <v>4813.8999999999996</v>
      </c>
      <c r="D14" s="289">
        <f t="shared" si="0"/>
        <v>2</v>
      </c>
    </row>
    <row r="15" spans="1:4" ht="18" customHeight="1">
      <c r="A15" s="290" t="s">
        <v>469</v>
      </c>
      <c r="B15" s="286"/>
      <c r="C15" s="287">
        <v>-34.700000000000003</v>
      </c>
      <c r="D15" s="289">
        <f t="shared" si="0"/>
        <v>7</v>
      </c>
    </row>
    <row r="16" spans="1:4" ht="18" customHeight="1">
      <c r="A16" s="281" t="s">
        <v>520</v>
      </c>
      <c r="B16" s="294"/>
      <c r="C16" s="295"/>
      <c r="D16" s="296"/>
    </row>
    <row r="17" spans="1:5" ht="18" customHeight="1">
      <c r="A17" s="285" t="s">
        <v>458</v>
      </c>
      <c r="B17" s="286"/>
      <c r="C17" s="287">
        <v>129</v>
      </c>
      <c r="D17" s="297" t="s">
        <v>459</v>
      </c>
    </row>
    <row r="18" spans="1:5" ht="18" customHeight="1">
      <c r="A18" s="285" t="s">
        <v>460</v>
      </c>
      <c r="B18" s="286"/>
      <c r="C18" s="287">
        <v>-27.1</v>
      </c>
      <c r="D18" s="298">
        <f>RANK(C18,($C$18:$C$27),0)</f>
        <v>8</v>
      </c>
      <c r="E18" s="299"/>
    </row>
    <row r="19" spans="1:5" ht="18" customHeight="1">
      <c r="A19" s="290" t="s">
        <v>461</v>
      </c>
      <c r="B19" s="286"/>
      <c r="C19" s="287">
        <v>-41.6</v>
      </c>
      <c r="D19" s="298">
        <f t="shared" ref="D19:D27" si="1">RANK(C19,($C$18:$C$27),0)</f>
        <v>9</v>
      </c>
      <c r="E19" s="299"/>
    </row>
    <row r="20" spans="1:5" ht="18" customHeight="1">
      <c r="A20" s="291" t="s">
        <v>462</v>
      </c>
      <c r="B20" s="286"/>
      <c r="C20" s="287">
        <v>20466.7</v>
      </c>
      <c r="D20" s="298">
        <f t="shared" si="1"/>
        <v>1</v>
      </c>
      <c r="E20" s="299"/>
    </row>
    <row r="21" spans="1:5" ht="18" customHeight="1">
      <c r="A21" s="290" t="s">
        <v>463</v>
      </c>
      <c r="B21" s="286"/>
      <c r="C21" s="287">
        <v>107.6</v>
      </c>
      <c r="D21" s="298">
        <f t="shared" si="1"/>
        <v>4</v>
      </c>
      <c r="E21" s="299"/>
    </row>
    <row r="22" spans="1:5" ht="18" customHeight="1">
      <c r="A22" s="290" t="s">
        <v>464</v>
      </c>
      <c r="B22" s="292"/>
      <c r="C22" s="293">
        <v>487.2</v>
      </c>
      <c r="D22" s="298">
        <f t="shared" si="1"/>
        <v>3</v>
      </c>
      <c r="E22" s="299"/>
    </row>
    <row r="23" spans="1:5" ht="18" customHeight="1">
      <c r="A23" s="290" t="s">
        <v>465</v>
      </c>
      <c r="B23" s="286"/>
      <c r="C23" s="287">
        <v>21</v>
      </c>
      <c r="D23" s="298">
        <f t="shared" si="1"/>
        <v>6</v>
      </c>
    </row>
    <row r="24" spans="1:5" ht="18" customHeight="1">
      <c r="A24" s="290" t="s">
        <v>466</v>
      </c>
      <c r="B24" s="300"/>
      <c r="C24" s="287" t="s">
        <v>8</v>
      </c>
      <c r="D24" s="298" t="s">
        <v>8</v>
      </c>
    </row>
    <row r="25" spans="1:5" ht="18" customHeight="1">
      <c r="A25" s="290" t="s">
        <v>467</v>
      </c>
      <c r="B25" s="286"/>
      <c r="C25" s="287">
        <v>-2.4</v>
      </c>
      <c r="D25" s="298">
        <f t="shared" si="1"/>
        <v>7</v>
      </c>
    </row>
    <row r="26" spans="1:5" ht="18" customHeight="1">
      <c r="A26" s="290" t="s">
        <v>468</v>
      </c>
      <c r="B26" s="286"/>
      <c r="C26" s="287">
        <v>4813.8999999999996</v>
      </c>
      <c r="D26" s="298">
        <f t="shared" si="1"/>
        <v>2</v>
      </c>
    </row>
    <row r="27" spans="1:5" ht="18" customHeight="1">
      <c r="A27" s="301" t="s">
        <v>469</v>
      </c>
      <c r="B27" s="286"/>
      <c r="C27" s="287">
        <v>95</v>
      </c>
      <c r="D27" s="298">
        <f t="shared" si="1"/>
        <v>5</v>
      </c>
    </row>
    <row r="28" spans="1:5">
      <c r="B28" s="299"/>
    </row>
  </sheetData>
  <sheetProtection password="DC9E" sheet="1" objects="1" scenarios="1"/>
  <mergeCells count="1">
    <mergeCell ref="A1:D1"/>
  </mergeCells>
  <phoneticPr fontId="11" type="noConversion"/>
  <printOptions horizontalCentered="1"/>
  <pageMargins left="0.75" right="0.75" top="0.58888888888888902" bottom="0.58888888888888902" header="0.50902777777777797" footer="0.50902777777777797"/>
  <pageSetup paperSize="9" scale="97" orientation="portrait"/>
  <headerFooter scaleWithDoc="0"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rgb="FFC00000"/>
  </sheetPr>
  <dimension ref="A1:E27"/>
  <sheetViews>
    <sheetView zoomScale="80" zoomScaleNormal="80" workbookViewId="0">
      <selection activeCell="G12" sqref="G12"/>
    </sheetView>
  </sheetViews>
  <sheetFormatPr defaultColWidth="9" defaultRowHeight="14.25"/>
  <cols>
    <col min="1" max="1" width="36.75" style="252" customWidth="1"/>
    <col min="2" max="4" width="13.125" style="253" customWidth="1"/>
    <col min="5" max="16384" width="9" style="253"/>
  </cols>
  <sheetData>
    <row r="1" spans="1:5" ht="33.75" customHeight="1">
      <c r="A1" s="1139" t="s">
        <v>521</v>
      </c>
      <c r="B1" s="1139"/>
      <c r="C1" s="1139"/>
      <c r="D1" s="1139"/>
    </row>
    <row r="2" spans="1:5" ht="20.25" customHeight="1">
      <c r="A2" s="254"/>
      <c r="B2" s="254"/>
      <c r="C2" s="254"/>
      <c r="D2" s="255" t="s">
        <v>522</v>
      </c>
    </row>
    <row r="3" spans="1:5" ht="31.5" customHeight="1">
      <c r="A3" s="256" t="s">
        <v>455</v>
      </c>
      <c r="B3" s="257" t="s">
        <v>82</v>
      </c>
      <c r="C3" s="258" t="s">
        <v>5</v>
      </c>
      <c r="D3" s="259" t="s">
        <v>456</v>
      </c>
    </row>
    <row r="4" spans="1:5" ht="18" customHeight="1">
      <c r="A4" s="260" t="s">
        <v>523</v>
      </c>
      <c r="B4" s="261"/>
      <c r="C4" s="262"/>
      <c r="D4" s="263"/>
    </row>
    <row r="5" spans="1:5" ht="18" customHeight="1">
      <c r="A5" s="264" t="s">
        <v>458</v>
      </c>
      <c r="B5" s="265"/>
      <c r="C5" s="266">
        <v>17.8</v>
      </c>
      <c r="D5" s="267" t="s">
        <v>459</v>
      </c>
    </row>
    <row r="6" spans="1:5" ht="18" customHeight="1">
      <c r="A6" s="264" t="s">
        <v>460</v>
      </c>
      <c r="B6" s="265"/>
      <c r="C6" s="266">
        <v>23.2</v>
      </c>
      <c r="D6" s="267">
        <v>8</v>
      </c>
      <c r="E6" s="268"/>
    </row>
    <row r="7" spans="1:5" ht="18" customHeight="1">
      <c r="A7" s="269" t="s">
        <v>461</v>
      </c>
      <c r="B7" s="265"/>
      <c r="C7" s="266">
        <v>57.2</v>
      </c>
      <c r="D7" s="267">
        <v>3</v>
      </c>
      <c r="E7" s="268"/>
    </row>
    <row r="8" spans="1:5" ht="18" customHeight="1">
      <c r="A8" s="270" t="s">
        <v>462</v>
      </c>
      <c r="B8" s="265"/>
      <c r="C8" s="266">
        <v>34.200000000000003</v>
      </c>
      <c r="D8" s="267">
        <v>5</v>
      </c>
      <c r="E8" s="268"/>
    </row>
    <row r="9" spans="1:5" ht="18" customHeight="1">
      <c r="A9" s="269" t="s">
        <v>463</v>
      </c>
      <c r="B9" s="265"/>
      <c r="C9" s="266">
        <v>1919.9</v>
      </c>
      <c r="D9" s="267">
        <v>1</v>
      </c>
      <c r="E9" s="268"/>
    </row>
    <row r="10" spans="1:5" ht="18" customHeight="1">
      <c r="A10" s="269" t="s">
        <v>464</v>
      </c>
      <c r="B10" s="271"/>
      <c r="C10" s="272">
        <v>-35.1</v>
      </c>
      <c r="D10" s="267">
        <v>10</v>
      </c>
    </row>
    <row r="11" spans="1:5" ht="18" customHeight="1">
      <c r="A11" s="269" t="s">
        <v>465</v>
      </c>
      <c r="B11" s="265"/>
      <c r="C11" s="266">
        <v>-9.6999999999999993</v>
      </c>
      <c r="D11" s="267">
        <v>9</v>
      </c>
    </row>
    <row r="12" spans="1:5" ht="18" customHeight="1">
      <c r="A12" s="269" t="s">
        <v>466</v>
      </c>
      <c r="B12" s="265"/>
      <c r="C12" s="266">
        <v>27.9</v>
      </c>
      <c r="D12" s="267">
        <v>7</v>
      </c>
    </row>
    <row r="13" spans="1:5" ht="18" customHeight="1">
      <c r="A13" s="269" t="s">
        <v>467</v>
      </c>
      <c r="B13" s="265"/>
      <c r="C13" s="266">
        <v>198.9</v>
      </c>
      <c r="D13" s="267">
        <v>2</v>
      </c>
    </row>
    <row r="14" spans="1:5" ht="18" customHeight="1">
      <c r="A14" s="269" t="s">
        <v>468</v>
      </c>
      <c r="B14" s="265"/>
      <c r="C14" s="266">
        <v>43.3</v>
      </c>
      <c r="D14" s="267">
        <v>4</v>
      </c>
    </row>
    <row r="15" spans="1:5" ht="18" customHeight="1">
      <c r="A15" s="269" t="s">
        <v>469</v>
      </c>
      <c r="B15" s="265"/>
      <c r="C15" s="266">
        <v>32.799999999999997</v>
      </c>
      <c r="D15" s="267">
        <v>6</v>
      </c>
    </row>
    <row r="16" spans="1:5" ht="18" customHeight="1">
      <c r="A16" s="1140" t="s">
        <v>524</v>
      </c>
      <c r="B16" s="1141"/>
      <c r="C16" s="273"/>
      <c r="D16" s="274"/>
    </row>
    <row r="17" spans="1:4" ht="18" customHeight="1">
      <c r="A17" s="264" t="s">
        <v>458</v>
      </c>
      <c r="B17" s="265">
        <v>68.721299999999999</v>
      </c>
      <c r="C17" s="266">
        <v>-6.9</v>
      </c>
      <c r="D17" s="267" t="s">
        <v>459</v>
      </c>
    </row>
    <row r="18" spans="1:4" ht="18" customHeight="1">
      <c r="A18" s="264" t="s">
        <v>460</v>
      </c>
      <c r="B18" s="265">
        <v>8.8500999999999994</v>
      </c>
      <c r="C18" s="266">
        <v>-26.5</v>
      </c>
      <c r="D18" s="267">
        <v>7</v>
      </c>
    </row>
    <row r="19" spans="1:4" ht="18" customHeight="1">
      <c r="A19" s="269" t="s">
        <v>461</v>
      </c>
      <c r="B19" s="265">
        <v>5.4401999999999999</v>
      </c>
      <c r="C19" s="266">
        <v>-35.799999999999997</v>
      </c>
      <c r="D19" s="267">
        <v>9</v>
      </c>
    </row>
    <row r="20" spans="1:4" ht="18" customHeight="1">
      <c r="A20" s="270" t="s">
        <v>462</v>
      </c>
      <c r="B20" s="265">
        <v>1.6302000000000001</v>
      </c>
      <c r="C20" s="266">
        <v>415.9</v>
      </c>
      <c r="D20" s="267">
        <v>1</v>
      </c>
    </row>
    <row r="21" spans="1:4" ht="18" customHeight="1">
      <c r="A21" s="269" t="s">
        <v>463</v>
      </c>
      <c r="B21" s="265">
        <v>2.7172999999999998</v>
      </c>
      <c r="C21" s="266">
        <v>-7.9</v>
      </c>
      <c r="D21" s="267">
        <v>6</v>
      </c>
    </row>
    <row r="22" spans="1:4" ht="18" customHeight="1">
      <c r="A22" s="269" t="s">
        <v>464</v>
      </c>
      <c r="B22" s="265">
        <v>4.6050000000000004</v>
      </c>
      <c r="C22" s="266">
        <v>-77.8</v>
      </c>
      <c r="D22" s="267">
        <v>10</v>
      </c>
    </row>
    <row r="23" spans="1:4" ht="18" customHeight="1">
      <c r="A23" s="269" t="s">
        <v>465</v>
      </c>
      <c r="B23" s="265">
        <v>11.5055</v>
      </c>
      <c r="C23" s="266">
        <v>-1.7</v>
      </c>
      <c r="D23" s="267">
        <v>5</v>
      </c>
    </row>
    <row r="24" spans="1:4" ht="18" customHeight="1">
      <c r="A24" s="269" t="s">
        <v>466</v>
      </c>
      <c r="B24" s="265">
        <v>5.6879</v>
      </c>
      <c r="C24" s="266">
        <v>177.7</v>
      </c>
      <c r="D24" s="267">
        <v>4</v>
      </c>
    </row>
    <row r="25" spans="1:4" ht="18" customHeight="1">
      <c r="A25" s="269" t="s">
        <v>467</v>
      </c>
      <c r="B25" s="265">
        <v>4.4112</v>
      </c>
      <c r="C25" s="266">
        <v>252.3</v>
      </c>
      <c r="D25" s="267">
        <v>3</v>
      </c>
    </row>
    <row r="26" spans="1:4" ht="18" customHeight="1">
      <c r="A26" s="269" t="s">
        <v>468</v>
      </c>
      <c r="B26" s="265">
        <v>15.723000000000001</v>
      </c>
      <c r="C26" s="266">
        <v>274.60000000000002</v>
      </c>
      <c r="D26" s="267">
        <v>2</v>
      </c>
    </row>
    <row r="27" spans="1:4" ht="18" customHeight="1">
      <c r="A27" s="269" t="s">
        <v>469</v>
      </c>
      <c r="B27" s="265">
        <v>10.5067</v>
      </c>
      <c r="C27" s="266">
        <v>-33</v>
      </c>
      <c r="D27" s="267">
        <v>8</v>
      </c>
    </row>
  </sheetData>
  <sheetProtection password="DC9E" sheet="1" objects="1" scenarios="1"/>
  <mergeCells count="2">
    <mergeCell ref="A1:D1"/>
    <mergeCell ref="A16:B16"/>
  </mergeCells>
  <phoneticPr fontId="11" type="noConversion"/>
  <pageMargins left="0.75" right="0.75" top="0.38888888888888901" bottom="0.38888888888888901" header="0.50902777777777797" footer="0.50902777777777797"/>
  <pageSetup paperSize="9" scale="96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/>
  </sheetPr>
  <dimension ref="A1:I30"/>
  <sheetViews>
    <sheetView zoomScale="80" zoomScaleNormal="80" workbookViewId="0">
      <selection activeCell="B12" sqref="B12"/>
    </sheetView>
  </sheetViews>
  <sheetFormatPr defaultColWidth="9" defaultRowHeight="14.25"/>
  <cols>
    <col min="1" max="1" width="27.875" customWidth="1"/>
    <col min="2" max="2" width="17.375" customWidth="1"/>
    <col min="3" max="3" width="15" customWidth="1"/>
    <col min="4" max="5" width="10.625" hidden="1" customWidth="1"/>
    <col min="6" max="6" width="1.125" hidden="1" customWidth="1"/>
    <col min="7" max="7" width="10.625" hidden="1" customWidth="1"/>
    <col min="8" max="8" width="12.625" customWidth="1"/>
    <col min="9" max="9" width="11.625" customWidth="1"/>
    <col min="10" max="11" width="12.625" customWidth="1"/>
    <col min="14" max="14" width="12.625" customWidth="1"/>
  </cols>
  <sheetData>
    <row r="1" spans="1:9" ht="30" customHeight="1">
      <c r="A1" s="1057" t="s">
        <v>36</v>
      </c>
      <c r="B1" s="1057"/>
      <c r="C1" s="1057"/>
      <c r="D1" s="1057"/>
      <c r="E1" s="1058"/>
      <c r="F1" s="1058"/>
      <c r="G1" s="1058"/>
    </row>
    <row r="2" spans="1:9" ht="27" customHeight="1">
      <c r="A2" s="973"/>
      <c r="B2" s="973"/>
      <c r="C2" s="974" t="s">
        <v>37</v>
      </c>
      <c r="D2" s="973"/>
      <c r="E2" s="975"/>
      <c r="F2" s="975"/>
      <c r="G2" s="975"/>
    </row>
    <row r="3" spans="1:9" ht="35.25" customHeight="1">
      <c r="A3" s="976" t="s">
        <v>38</v>
      </c>
      <c r="B3" s="959" t="s">
        <v>34</v>
      </c>
      <c r="C3" s="977" t="s">
        <v>5</v>
      </c>
      <c r="D3" s="978"/>
      <c r="E3" s="979"/>
      <c r="F3" s="979"/>
      <c r="G3" s="979"/>
    </row>
    <row r="4" spans="1:9" ht="32.1" customHeight="1">
      <c r="A4" s="965" t="s">
        <v>39</v>
      </c>
      <c r="B4" s="980">
        <v>3008.39</v>
      </c>
      <c r="C4" s="981">
        <v>6</v>
      </c>
      <c r="D4" s="982"/>
      <c r="H4" s="98"/>
      <c r="I4" s="98"/>
    </row>
    <row r="5" spans="1:9" ht="32.1" customHeight="1">
      <c r="A5" s="965" t="s">
        <v>40</v>
      </c>
      <c r="B5" s="983">
        <v>533.61</v>
      </c>
      <c r="C5" s="984">
        <v>4.5</v>
      </c>
      <c r="D5" s="982"/>
      <c r="H5" s="98"/>
      <c r="I5" s="98"/>
    </row>
    <row r="6" spans="1:9" ht="32.1" customHeight="1">
      <c r="A6" s="965" t="s">
        <v>41</v>
      </c>
      <c r="B6" s="983">
        <v>1086.6099999999999</v>
      </c>
      <c r="C6" s="984">
        <v>5.2</v>
      </c>
      <c r="D6" s="982"/>
      <c r="H6" s="98"/>
      <c r="I6" s="98"/>
    </row>
    <row r="7" spans="1:9" ht="32.1" customHeight="1">
      <c r="A7" s="965" t="s">
        <v>42</v>
      </c>
      <c r="B7" s="985">
        <v>157.71</v>
      </c>
      <c r="C7" s="986">
        <v>6.2</v>
      </c>
      <c r="D7" s="982"/>
      <c r="H7" s="98"/>
      <c r="I7" s="98"/>
    </row>
    <row r="8" spans="1:9" ht="32.1" customHeight="1">
      <c r="A8" s="965" t="s">
        <v>43</v>
      </c>
      <c r="B8" s="987">
        <v>1388.16</v>
      </c>
      <c r="C8" s="988">
        <v>7.2</v>
      </c>
      <c r="D8" s="982"/>
      <c r="H8" s="98"/>
      <c r="I8" s="98"/>
    </row>
    <row r="9" spans="1:9" ht="32.1" customHeight="1">
      <c r="A9" s="965" t="s">
        <v>44</v>
      </c>
      <c r="B9" s="989">
        <v>165.98</v>
      </c>
      <c r="C9" s="990">
        <v>6.2</v>
      </c>
      <c r="D9" s="982"/>
      <c r="I9" s="1010"/>
    </row>
    <row r="10" spans="1:9" ht="32.1" customHeight="1">
      <c r="A10" s="965" t="s">
        <v>45</v>
      </c>
      <c r="B10" s="991">
        <v>261.88</v>
      </c>
      <c r="C10" s="992">
        <v>5.0999999999999996</v>
      </c>
      <c r="D10" s="982"/>
      <c r="I10" s="1010"/>
    </row>
    <row r="11" spans="1:9" ht="32.1" customHeight="1">
      <c r="A11" s="965" t="s">
        <v>46</v>
      </c>
      <c r="B11" s="993">
        <v>47.03</v>
      </c>
      <c r="C11" s="994">
        <v>3.1</v>
      </c>
      <c r="D11" s="982"/>
      <c r="I11" s="1010"/>
    </row>
    <row r="12" spans="1:9" ht="32.1" customHeight="1">
      <c r="A12" s="965" t="s">
        <v>47</v>
      </c>
      <c r="B12" s="995">
        <v>96.2</v>
      </c>
      <c r="C12" s="996">
        <v>6.7</v>
      </c>
      <c r="D12" s="982"/>
      <c r="I12" s="1010"/>
    </row>
    <row r="13" spans="1:9" ht="32.1" customHeight="1">
      <c r="A13" s="965" t="s">
        <v>48</v>
      </c>
      <c r="B13" s="997">
        <v>179.63</v>
      </c>
      <c r="C13" s="998">
        <v>2</v>
      </c>
      <c r="D13" s="982"/>
      <c r="I13" s="1010"/>
    </row>
    <row r="14" spans="1:9" ht="32.1" customHeight="1">
      <c r="A14" s="965" t="s">
        <v>49</v>
      </c>
      <c r="B14" s="999">
        <v>163.30000000000001</v>
      </c>
      <c r="C14" s="1000">
        <v>20.5</v>
      </c>
      <c r="D14" s="982"/>
      <c r="I14" s="1010"/>
    </row>
    <row r="15" spans="1:9" ht="32.1" customHeight="1">
      <c r="A15" s="1001" t="s">
        <v>50</v>
      </c>
      <c r="B15" s="1002">
        <v>453.06</v>
      </c>
      <c r="C15" s="1003">
        <v>7.7</v>
      </c>
      <c r="D15" s="982"/>
      <c r="I15" s="1010"/>
    </row>
    <row r="16" spans="1:9" ht="32.1" customHeight="1">
      <c r="A16" s="1004" t="s">
        <v>51</v>
      </c>
      <c r="B16" s="1005">
        <v>546.36</v>
      </c>
      <c r="C16" s="1006">
        <v>4.8</v>
      </c>
      <c r="D16" s="982"/>
      <c r="I16" s="1010" t="s">
        <v>52</v>
      </c>
    </row>
    <row r="17" spans="1:9" ht="32.1" customHeight="1">
      <c r="A17" s="965" t="s">
        <v>53</v>
      </c>
      <c r="B17" s="1007">
        <v>937.25</v>
      </c>
      <c r="C17" s="1008">
        <v>4.8</v>
      </c>
      <c r="D17" s="982"/>
      <c r="I17" s="92"/>
    </row>
    <row r="18" spans="1:9" ht="32.1" customHeight="1">
      <c r="A18" s="1009" t="s">
        <v>54</v>
      </c>
      <c r="B18" s="1059" t="s">
        <v>55</v>
      </c>
      <c r="C18" s="1060"/>
      <c r="D18" s="982"/>
      <c r="I18" s="1010"/>
    </row>
    <row r="19" spans="1:9" ht="21" customHeight="1">
      <c r="A19" s="1061" t="s">
        <v>56</v>
      </c>
      <c r="B19" s="1062"/>
      <c r="C19" s="197"/>
      <c r="D19" s="982"/>
    </row>
    <row r="20" spans="1:9" ht="24.95" customHeight="1"/>
    <row r="21" spans="1:9" ht="24.95" customHeight="1"/>
    <row r="22" spans="1:9" ht="24.95" customHeight="1"/>
    <row r="23" spans="1:9" ht="24.95" customHeight="1"/>
    <row r="24" spans="1:9" ht="24.95" customHeight="1"/>
    <row r="25" spans="1:9" ht="24.95" customHeight="1"/>
    <row r="26" spans="1:9" ht="24.95" customHeight="1"/>
    <row r="27" spans="1:9" ht="24.95" customHeight="1"/>
    <row r="28" spans="1:9" ht="24.95" customHeight="1"/>
    <row r="29" spans="1:9" ht="24.95" customHeight="1"/>
    <row r="30" spans="1:9" ht="24.95" customHeight="1"/>
  </sheetData>
  <sheetProtection password="DC9E" sheet="1" objects="1" scenarios="1"/>
  <mergeCells count="4">
    <mergeCell ref="A1:D1"/>
    <mergeCell ref="E1:G1"/>
    <mergeCell ref="B18:C18"/>
    <mergeCell ref="A19:B19"/>
  </mergeCells>
  <phoneticPr fontId="11" type="noConversion"/>
  <printOptions horizontalCentered="1"/>
  <pageMargins left="0.75" right="0.75" top="0.97916666666666696" bottom="0.97916666666666696" header="0.50902777777777797" footer="0.50902777777777797"/>
  <pageSetup paperSize="9" orientation="portrait" blackAndWhite="1"/>
  <headerFooter scaleWithDoc="0"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theme="5"/>
  </sheetPr>
  <dimension ref="A1:F28"/>
  <sheetViews>
    <sheetView zoomScale="90" zoomScaleNormal="90" workbookViewId="0">
      <selection activeCell="H10" sqref="H10"/>
    </sheetView>
  </sheetViews>
  <sheetFormatPr defaultColWidth="9" defaultRowHeight="14.25"/>
  <cols>
    <col min="1" max="1" width="32.75" style="43" customWidth="1"/>
    <col min="2" max="4" width="13.125" style="42" customWidth="1"/>
    <col min="5" max="16384" width="9" style="42"/>
  </cols>
  <sheetData>
    <row r="1" spans="1:6" ht="33.75" customHeight="1">
      <c r="A1" s="1142" t="s">
        <v>525</v>
      </c>
      <c r="B1" s="1142"/>
      <c r="C1" s="1142"/>
      <c r="D1" s="1142"/>
    </row>
    <row r="2" spans="1:6" ht="20.25" customHeight="1">
      <c r="A2" s="225"/>
      <c r="B2" s="225"/>
      <c r="C2" s="1143" t="s">
        <v>454</v>
      </c>
      <c r="D2" s="1143"/>
    </row>
    <row r="3" spans="1:6" ht="31.5" customHeight="1">
      <c r="A3" s="226" t="s">
        <v>455</v>
      </c>
      <c r="B3" s="227" t="s">
        <v>82</v>
      </c>
      <c r="C3" s="228" t="s">
        <v>5</v>
      </c>
      <c r="D3" s="229" t="s">
        <v>456</v>
      </c>
    </row>
    <row r="4" spans="1:6" ht="27" customHeight="1">
      <c r="A4" s="230" t="s">
        <v>526</v>
      </c>
      <c r="B4" s="231"/>
      <c r="C4" s="232"/>
      <c r="D4" s="233"/>
      <c r="E4" s="210"/>
    </row>
    <row r="5" spans="1:6" ht="18" customHeight="1">
      <c r="A5" s="234" t="s">
        <v>458</v>
      </c>
      <c r="B5" s="235">
        <v>24.869700000000002</v>
      </c>
      <c r="C5" s="13">
        <v>11.8</v>
      </c>
      <c r="D5" s="233" t="s">
        <v>459</v>
      </c>
      <c r="F5" s="215"/>
    </row>
    <row r="6" spans="1:6" ht="18" customHeight="1">
      <c r="A6" s="234" t="s">
        <v>460</v>
      </c>
      <c r="B6" s="235">
        <v>0.64590000000000003</v>
      </c>
      <c r="C6" s="13">
        <v>-12.1</v>
      </c>
      <c r="D6" s="233">
        <v>8</v>
      </c>
      <c r="F6" s="215"/>
    </row>
    <row r="7" spans="1:6" ht="18" customHeight="1">
      <c r="A7" s="236" t="s">
        <v>461</v>
      </c>
      <c r="B7" s="235">
        <v>1.5358000000000001</v>
      </c>
      <c r="C7" s="13">
        <v>-13.2</v>
      </c>
      <c r="D7" s="233">
        <v>10</v>
      </c>
      <c r="F7" s="215"/>
    </row>
    <row r="8" spans="1:6" ht="18" customHeight="1">
      <c r="A8" s="237" t="s">
        <v>462</v>
      </c>
      <c r="B8" s="235">
        <v>0.54990000000000006</v>
      </c>
      <c r="C8" s="13">
        <v>7.3</v>
      </c>
      <c r="D8" s="233">
        <v>6</v>
      </c>
      <c r="F8" s="215"/>
    </row>
    <row r="9" spans="1:6" ht="18" customHeight="1">
      <c r="A9" s="236" t="s">
        <v>463</v>
      </c>
      <c r="B9" s="235">
        <v>1.5524</v>
      </c>
      <c r="C9" s="13">
        <v>22.8</v>
      </c>
      <c r="D9" s="233">
        <v>2</v>
      </c>
      <c r="F9" s="215"/>
    </row>
    <row r="10" spans="1:6" ht="18" customHeight="1">
      <c r="A10" s="236" t="s">
        <v>464</v>
      </c>
      <c r="B10" s="235">
        <v>3.8908999999999998</v>
      </c>
      <c r="C10" s="238">
        <v>71.900000000000006</v>
      </c>
      <c r="D10" s="233">
        <v>1</v>
      </c>
    </row>
    <row r="11" spans="1:6" ht="18" customHeight="1">
      <c r="A11" s="236" t="s">
        <v>465</v>
      </c>
      <c r="B11" s="239">
        <v>1.7608999999999999</v>
      </c>
      <c r="C11" s="240">
        <v>17.3</v>
      </c>
      <c r="D11" s="233">
        <v>3</v>
      </c>
    </row>
    <row r="12" spans="1:6" ht="18" customHeight="1">
      <c r="A12" s="236" t="s">
        <v>466</v>
      </c>
      <c r="B12" s="239">
        <v>1.0858000000000001</v>
      </c>
      <c r="C12" s="240">
        <v>14.8</v>
      </c>
      <c r="D12" s="233">
        <v>5</v>
      </c>
    </row>
    <row r="13" spans="1:6" ht="18" customHeight="1">
      <c r="A13" s="236" t="s">
        <v>467</v>
      </c>
      <c r="B13" s="239">
        <v>1.2456</v>
      </c>
      <c r="C13" s="240">
        <v>-2.4</v>
      </c>
      <c r="D13" s="233">
        <v>7</v>
      </c>
    </row>
    <row r="14" spans="1:6" ht="18" customHeight="1">
      <c r="A14" s="236" t="s">
        <v>468</v>
      </c>
      <c r="B14" s="239">
        <v>1.0078</v>
      </c>
      <c r="C14" s="240">
        <v>-12.8</v>
      </c>
      <c r="D14" s="233">
        <v>9</v>
      </c>
    </row>
    <row r="15" spans="1:6" ht="18" customHeight="1">
      <c r="A15" s="236" t="s">
        <v>469</v>
      </c>
      <c r="B15" s="239">
        <v>1.9454</v>
      </c>
      <c r="C15" s="240">
        <v>15.2</v>
      </c>
      <c r="D15" s="233">
        <v>4</v>
      </c>
    </row>
    <row r="16" spans="1:6" ht="26.1" customHeight="1">
      <c r="A16" s="241" t="s">
        <v>527</v>
      </c>
      <c r="B16" s="239"/>
      <c r="C16" s="242"/>
      <c r="D16" s="243"/>
    </row>
    <row r="17" spans="1:6" ht="18" customHeight="1">
      <c r="A17" s="244" t="s">
        <v>458</v>
      </c>
      <c r="B17" s="239">
        <v>66.730999999999995</v>
      </c>
      <c r="C17" s="245">
        <v>16</v>
      </c>
      <c r="D17" s="233" t="s">
        <v>8</v>
      </c>
    </row>
    <row r="18" spans="1:6" ht="18" customHeight="1">
      <c r="A18" s="244" t="s">
        <v>460</v>
      </c>
      <c r="B18" s="239">
        <v>1.9694</v>
      </c>
      <c r="C18" s="240">
        <v>6.2</v>
      </c>
      <c r="D18" s="233">
        <v>9</v>
      </c>
      <c r="F18" s="210"/>
    </row>
    <row r="19" spans="1:6" ht="18" customHeight="1">
      <c r="A19" s="246" t="s">
        <v>461</v>
      </c>
      <c r="B19" s="239">
        <v>3.2825000000000002</v>
      </c>
      <c r="C19" s="240">
        <v>17.8</v>
      </c>
      <c r="D19" s="233">
        <v>5</v>
      </c>
      <c r="F19" s="210"/>
    </row>
    <row r="20" spans="1:6" ht="18" customHeight="1">
      <c r="A20" s="247" t="s">
        <v>462</v>
      </c>
      <c r="B20" s="239">
        <v>1.7737000000000001</v>
      </c>
      <c r="C20" s="240">
        <v>9.9</v>
      </c>
      <c r="D20" s="233">
        <v>8</v>
      </c>
      <c r="F20" s="210"/>
    </row>
    <row r="21" spans="1:6" ht="18" customHeight="1">
      <c r="A21" s="246" t="s">
        <v>463</v>
      </c>
      <c r="B21" s="239">
        <v>2.7843</v>
      </c>
      <c r="C21" s="240">
        <v>27.2</v>
      </c>
      <c r="D21" s="233">
        <v>3</v>
      </c>
      <c r="F21" s="210"/>
    </row>
    <row r="22" spans="1:6" ht="18" customHeight="1">
      <c r="A22" s="246" t="s">
        <v>464</v>
      </c>
      <c r="B22" s="239">
        <v>3.2671000000000001</v>
      </c>
      <c r="C22" s="240">
        <v>14.1</v>
      </c>
      <c r="D22" s="233">
        <v>6</v>
      </c>
    </row>
    <row r="23" spans="1:6" ht="18" customHeight="1">
      <c r="A23" s="246" t="s">
        <v>465</v>
      </c>
      <c r="B23" s="239">
        <v>6.1535000000000002</v>
      </c>
      <c r="C23" s="240">
        <v>11</v>
      </c>
      <c r="D23" s="233">
        <v>7</v>
      </c>
    </row>
    <row r="24" spans="1:6" ht="18" customHeight="1">
      <c r="A24" s="236" t="s">
        <v>466</v>
      </c>
      <c r="B24" s="239">
        <v>5.6501999999999999</v>
      </c>
      <c r="C24" s="240">
        <v>23.7</v>
      </c>
      <c r="D24" s="233">
        <v>4</v>
      </c>
    </row>
    <row r="25" spans="1:6" ht="18" customHeight="1">
      <c r="A25" s="236" t="s">
        <v>467</v>
      </c>
      <c r="B25" s="239">
        <v>8.7632999999999992</v>
      </c>
      <c r="C25" s="240">
        <v>-7.5</v>
      </c>
      <c r="D25" s="233">
        <v>10</v>
      </c>
    </row>
    <row r="26" spans="1:6" ht="18" customHeight="1">
      <c r="A26" s="236" t="s">
        <v>468</v>
      </c>
      <c r="B26" s="239">
        <v>6.8898000000000001</v>
      </c>
      <c r="C26" s="240">
        <v>80.900000000000006</v>
      </c>
      <c r="D26" s="233">
        <v>1</v>
      </c>
    </row>
    <row r="27" spans="1:6" ht="18" customHeight="1">
      <c r="A27" s="248" t="s">
        <v>469</v>
      </c>
      <c r="B27" s="249">
        <v>10.473599999999999</v>
      </c>
      <c r="C27" s="250">
        <v>27.9</v>
      </c>
      <c r="D27" s="251">
        <v>2</v>
      </c>
    </row>
    <row r="28" spans="1:6">
      <c r="A28" s="1123" t="s">
        <v>528</v>
      </c>
      <c r="B28" s="1123"/>
      <c r="C28" s="1123"/>
      <c r="D28" s="1123"/>
    </row>
  </sheetData>
  <sheetProtection password="DC9E" sheet="1" objects="1" scenarios="1"/>
  <mergeCells count="3">
    <mergeCell ref="A1:D1"/>
    <mergeCell ref="C2:D2"/>
    <mergeCell ref="A28:D28"/>
  </mergeCells>
  <phoneticPr fontId="11" type="noConversion"/>
  <pageMargins left="0.75" right="0.75" top="0.38888888888888901" bottom="0.38888888888888901" header="0.50902777777777797" footer="0.50902777777777797"/>
  <pageSetup paperSize="9" scale="96" orientation="portrait"/>
  <headerFooter scaleWithDoc="0"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theme="5"/>
  </sheetPr>
  <dimension ref="A1:F29"/>
  <sheetViews>
    <sheetView workbookViewId="0">
      <selection activeCell="G6" sqref="G6"/>
    </sheetView>
  </sheetViews>
  <sheetFormatPr defaultColWidth="9" defaultRowHeight="14.25"/>
  <cols>
    <col min="1" max="1" width="32.75" style="43" customWidth="1"/>
    <col min="2" max="4" width="13.125" style="42" customWidth="1"/>
    <col min="5" max="16384" width="9" style="42"/>
  </cols>
  <sheetData>
    <row r="1" spans="1:6" ht="33.75" customHeight="1">
      <c r="A1" s="1144" t="s">
        <v>529</v>
      </c>
      <c r="B1" s="1144"/>
      <c r="C1" s="1144"/>
      <c r="D1" s="1144"/>
    </row>
    <row r="2" spans="1:6" ht="20.25" customHeight="1">
      <c r="A2" s="201"/>
      <c r="B2" s="201"/>
      <c r="C2" s="1145"/>
      <c r="D2" s="1145"/>
    </row>
    <row r="3" spans="1:6" ht="31.5" customHeight="1">
      <c r="A3" s="202" t="s">
        <v>455</v>
      </c>
      <c r="B3" s="203" t="s">
        <v>82</v>
      </c>
      <c r="C3" s="204" t="s">
        <v>5</v>
      </c>
      <c r="D3" s="205" t="s">
        <v>456</v>
      </c>
    </row>
    <row r="4" spans="1:6" ht="27" customHeight="1">
      <c r="A4" s="206" t="s">
        <v>530</v>
      </c>
      <c r="B4" s="207"/>
      <c r="C4" s="208"/>
      <c r="D4" s="209"/>
      <c r="E4" s="210"/>
    </row>
    <row r="5" spans="1:6" ht="18" customHeight="1">
      <c r="A5" s="211" t="s">
        <v>458</v>
      </c>
      <c r="B5" s="212">
        <v>36.802900000000001</v>
      </c>
      <c r="C5" s="213">
        <v>44.4</v>
      </c>
      <c r="D5" s="214" t="s">
        <v>8</v>
      </c>
      <c r="F5" s="215"/>
    </row>
    <row r="6" spans="1:6" ht="18" customHeight="1">
      <c r="A6" s="211" t="s">
        <v>460</v>
      </c>
      <c r="B6" s="214" t="s">
        <v>8</v>
      </c>
      <c r="C6" s="214" t="s">
        <v>8</v>
      </c>
      <c r="D6" s="214" t="s">
        <v>8</v>
      </c>
      <c r="F6" s="215"/>
    </row>
    <row r="7" spans="1:6" ht="18" customHeight="1">
      <c r="A7" s="216" t="s">
        <v>461</v>
      </c>
      <c r="B7" s="214" t="s">
        <v>8</v>
      </c>
      <c r="C7" s="214" t="s">
        <v>8</v>
      </c>
      <c r="D7" s="214" t="s">
        <v>8</v>
      </c>
      <c r="F7" s="215"/>
    </row>
    <row r="8" spans="1:6" ht="18" customHeight="1">
      <c r="A8" s="217" t="s">
        <v>462</v>
      </c>
      <c r="B8" s="214" t="s">
        <v>8</v>
      </c>
      <c r="C8" s="214" t="s">
        <v>8</v>
      </c>
      <c r="D8" s="214" t="s">
        <v>8</v>
      </c>
      <c r="F8" s="215"/>
    </row>
    <row r="9" spans="1:6" ht="18" customHeight="1">
      <c r="A9" s="216" t="s">
        <v>463</v>
      </c>
      <c r="B9" s="214" t="s">
        <v>8</v>
      </c>
      <c r="C9" s="214" t="s">
        <v>8</v>
      </c>
      <c r="D9" s="214" t="s">
        <v>8</v>
      </c>
      <c r="F9" s="215"/>
    </row>
    <row r="10" spans="1:6" ht="18" customHeight="1">
      <c r="A10" s="216" t="s">
        <v>464</v>
      </c>
      <c r="B10" s="214" t="s">
        <v>8</v>
      </c>
      <c r="C10" s="214" t="s">
        <v>8</v>
      </c>
      <c r="D10" s="214" t="s">
        <v>8</v>
      </c>
    </row>
    <row r="11" spans="1:6" ht="18" customHeight="1">
      <c r="A11" s="216" t="s">
        <v>465</v>
      </c>
      <c r="B11" s="214" t="s">
        <v>8</v>
      </c>
      <c r="C11" s="214" t="s">
        <v>8</v>
      </c>
      <c r="D11" s="214" t="s">
        <v>8</v>
      </c>
    </row>
    <row r="12" spans="1:6" ht="18" customHeight="1">
      <c r="A12" s="216" t="s">
        <v>466</v>
      </c>
      <c r="B12" s="214" t="s">
        <v>8</v>
      </c>
      <c r="C12" s="214" t="s">
        <v>8</v>
      </c>
      <c r="D12" s="214" t="s">
        <v>8</v>
      </c>
    </row>
    <row r="13" spans="1:6" ht="18" customHeight="1">
      <c r="A13" s="216" t="s">
        <v>467</v>
      </c>
      <c r="B13" s="214" t="s">
        <v>8</v>
      </c>
      <c r="C13" s="214" t="s">
        <v>8</v>
      </c>
      <c r="D13" s="214" t="s">
        <v>8</v>
      </c>
    </row>
    <row r="14" spans="1:6" ht="18" customHeight="1">
      <c r="A14" s="216" t="s">
        <v>468</v>
      </c>
      <c r="B14" s="214" t="s">
        <v>8</v>
      </c>
      <c r="C14" s="214" t="s">
        <v>8</v>
      </c>
      <c r="D14" s="214" t="s">
        <v>8</v>
      </c>
    </row>
    <row r="15" spans="1:6" ht="18" customHeight="1">
      <c r="A15" s="216" t="s">
        <v>469</v>
      </c>
      <c r="B15" s="214" t="s">
        <v>8</v>
      </c>
      <c r="C15" s="214" t="s">
        <v>8</v>
      </c>
      <c r="D15" s="214" t="s">
        <v>8</v>
      </c>
    </row>
    <row r="16" spans="1:6" ht="26.1" customHeight="1">
      <c r="A16" s="206" t="s">
        <v>531</v>
      </c>
      <c r="B16" s="218"/>
      <c r="C16" s="219"/>
      <c r="D16" s="214"/>
    </row>
    <row r="17" spans="1:6" ht="18" customHeight="1">
      <c r="A17" s="211" t="s">
        <v>458</v>
      </c>
      <c r="B17" s="220">
        <v>1197</v>
      </c>
      <c r="C17" s="221">
        <v>5.7</v>
      </c>
      <c r="D17" s="214" t="s">
        <v>8</v>
      </c>
    </row>
    <row r="18" spans="1:6" ht="18" customHeight="1">
      <c r="A18" s="211" t="s">
        <v>460</v>
      </c>
      <c r="B18" s="220">
        <v>0</v>
      </c>
      <c r="C18" s="221">
        <v>-100</v>
      </c>
      <c r="D18" s="214" t="s">
        <v>8</v>
      </c>
      <c r="F18" s="210"/>
    </row>
    <row r="19" spans="1:6" ht="18" customHeight="1">
      <c r="A19" s="216" t="s">
        <v>461</v>
      </c>
      <c r="B19" s="220">
        <v>0</v>
      </c>
      <c r="C19" s="221">
        <v>-100</v>
      </c>
      <c r="D19" s="214" t="s">
        <v>8</v>
      </c>
      <c r="F19" s="210"/>
    </row>
    <row r="20" spans="1:6" ht="18" customHeight="1">
      <c r="A20" s="217" t="s">
        <v>462</v>
      </c>
      <c r="B20" s="220">
        <v>126</v>
      </c>
      <c r="C20" s="222" t="s">
        <v>8</v>
      </c>
      <c r="D20" s="214" t="s">
        <v>8</v>
      </c>
      <c r="F20" s="210"/>
    </row>
    <row r="21" spans="1:6" ht="18" customHeight="1">
      <c r="A21" s="216" t="s">
        <v>463</v>
      </c>
      <c r="B21" s="220">
        <v>474</v>
      </c>
      <c r="C21" s="221">
        <v>4209.1000000000004</v>
      </c>
      <c r="D21" s="214" t="s">
        <v>8</v>
      </c>
      <c r="F21" s="210"/>
    </row>
    <row r="22" spans="1:6" ht="18" customHeight="1">
      <c r="A22" s="216" t="s">
        <v>464</v>
      </c>
      <c r="B22" s="220">
        <v>0</v>
      </c>
      <c r="C22" s="214" t="s">
        <v>8</v>
      </c>
      <c r="D22" s="214" t="s">
        <v>8</v>
      </c>
    </row>
    <row r="23" spans="1:6" ht="18" customHeight="1">
      <c r="A23" s="216" t="s">
        <v>465</v>
      </c>
      <c r="B23" s="220">
        <v>577</v>
      </c>
      <c r="C23" s="214" t="s">
        <v>8</v>
      </c>
      <c r="D23" s="214" t="s">
        <v>8</v>
      </c>
    </row>
    <row r="24" spans="1:6" ht="18" customHeight="1">
      <c r="A24" s="216" t="s">
        <v>466</v>
      </c>
      <c r="B24" s="220">
        <v>0</v>
      </c>
      <c r="C24" s="221">
        <v>-100</v>
      </c>
      <c r="D24" s="214" t="s">
        <v>8</v>
      </c>
    </row>
    <row r="25" spans="1:6" ht="18" customHeight="1">
      <c r="A25" s="216" t="s">
        <v>467</v>
      </c>
      <c r="B25" s="220">
        <v>0</v>
      </c>
      <c r="C25" s="214" t="s">
        <v>8</v>
      </c>
      <c r="D25" s="214" t="s">
        <v>8</v>
      </c>
    </row>
    <row r="26" spans="1:6" ht="18" customHeight="1">
      <c r="A26" s="216" t="s">
        <v>479</v>
      </c>
      <c r="B26" s="214" t="s">
        <v>8</v>
      </c>
      <c r="C26" s="214" t="s">
        <v>8</v>
      </c>
      <c r="D26" s="214" t="s">
        <v>8</v>
      </c>
    </row>
    <row r="27" spans="1:6" ht="18" customHeight="1">
      <c r="A27" s="216" t="s">
        <v>468</v>
      </c>
      <c r="B27" s="220">
        <v>0</v>
      </c>
      <c r="C27" s="223">
        <v>-100</v>
      </c>
      <c r="D27" s="214" t="s">
        <v>8</v>
      </c>
    </row>
    <row r="28" spans="1:6" ht="18" customHeight="1">
      <c r="A28" s="224" t="s">
        <v>469</v>
      </c>
      <c r="B28" s="220">
        <v>20</v>
      </c>
      <c r="C28" s="214" t="s">
        <v>8</v>
      </c>
      <c r="D28" s="214" t="s">
        <v>8</v>
      </c>
    </row>
    <row r="29" spans="1:6">
      <c r="A29" s="1145" t="s">
        <v>528</v>
      </c>
      <c r="B29" s="1145"/>
      <c r="C29" s="1145"/>
      <c r="D29" s="1145"/>
    </row>
  </sheetData>
  <sheetProtection password="DC9E" sheet="1" objects="1" scenarios="1"/>
  <mergeCells count="3">
    <mergeCell ref="A1:D1"/>
    <mergeCell ref="C2:D2"/>
    <mergeCell ref="A29:D29"/>
  </mergeCells>
  <phoneticPr fontId="11" type="noConversion"/>
  <pageMargins left="0.75" right="0.75" top="0.38888888888888901" bottom="0.38888888888888901" header="0.50902777777777797" footer="0.50902777777777797"/>
  <pageSetup paperSize="9" scale="96" orientation="portrait" r:id="rId1"/>
  <headerFooter scaleWithDoc="0"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>
    <tabColor theme="5"/>
  </sheetPr>
  <dimension ref="A1:O27"/>
  <sheetViews>
    <sheetView workbookViewId="0">
      <selection activeCell="K11" sqref="K11"/>
    </sheetView>
  </sheetViews>
  <sheetFormatPr defaultColWidth="9" defaultRowHeight="14.25"/>
  <cols>
    <col min="1" max="1" width="16.375" customWidth="1"/>
    <col min="2" max="2" width="13" customWidth="1"/>
    <col min="3" max="3" width="9.375" customWidth="1"/>
    <col min="4" max="4" width="8.625" customWidth="1"/>
    <col min="5" max="5" width="14.625" customWidth="1"/>
    <col min="6" max="6" width="10.5" customWidth="1"/>
    <col min="7" max="7" width="8.625" customWidth="1"/>
  </cols>
  <sheetData>
    <row r="1" spans="1:15" ht="22.5">
      <c r="A1" s="1146" t="s">
        <v>557</v>
      </c>
      <c r="B1" s="1146"/>
      <c r="C1" s="1146"/>
      <c r="D1" s="1146"/>
      <c r="E1" s="1146"/>
      <c r="F1" s="1146"/>
      <c r="G1" s="166"/>
    </row>
    <row r="2" spans="1:15" ht="29.1" customHeight="1">
      <c r="A2" s="1146" t="s">
        <v>37</v>
      </c>
      <c r="B2" s="1146"/>
      <c r="C2" s="1146"/>
      <c r="D2" s="1146"/>
      <c r="E2" s="1146"/>
      <c r="F2" s="1146"/>
      <c r="G2" s="1146"/>
    </row>
    <row r="3" spans="1:15" s="165" customFormat="1" ht="30" customHeight="1">
      <c r="A3" s="1146" t="s">
        <v>532</v>
      </c>
      <c r="B3" s="1146" t="s">
        <v>558</v>
      </c>
      <c r="C3" s="1146"/>
      <c r="D3" s="1146"/>
      <c r="E3" s="1146" t="s">
        <v>559</v>
      </c>
      <c r="F3" s="1146"/>
      <c r="G3" s="1146"/>
    </row>
    <row r="4" spans="1:15" s="185" customFormat="1" ht="36" customHeight="1">
      <c r="A4" s="1146"/>
      <c r="B4" s="193" t="s">
        <v>560</v>
      </c>
      <c r="C4" s="167" t="s">
        <v>533</v>
      </c>
      <c r="D4" s="179" t="s">
        <v>456</v>
      </c>
      <c r="E4" s="193" t="s">
        <v>560</v>
      </c>
      <c r="F4" s="168" t="s">
        <v>533</v>
      </c>
      <c r="G4" s="168" t="s">
        <v>456</v>
      </c>
      <c r="H4" s="164"/>
      <c r="O4" s="188"/>
    </row>
    <row r="5" spans="1:15" s="185" customFormat="1" ht="25.5" customHeight="1">
      <c r="A5" s="180" t="s">
        <v>537</v>
      </c>
      <c r="B5" s="170" t="s">
        <v>8</v>
      </c>
      <c r="C5" s="170" t="s">
        <v>8</v>
      </c>
      <c r="D5" s="170" t="s">
        <v>8</v>
      </c>
      <c r="E5" s="194" t="s">
        <v>8</v>
      </c>
      <c r="F5" s="182" t="s">
        <v>8</v>
      </c>
      <c r="G5" s="170" t="s">
        <v>8</v>
      </c>
      <c r="I5" s="174"/>
      <c r="J5" s="174"/>
      <c r="K5" s="175"/>
      <c r="O5" s="188"/>
    </row>
    <row r="6" spans="1:15" s="185" customFormat="1" ht="23.1" customHeight="1">
      <c r="A6" s="180" t="s">
        <v>538</v>
      </c>
      <c r="B6" s="181">
        <v>4837.68</v>
      </c>
      <c r="C6" s="10">
        <v>6.2</v>
      </c>
      <c r="D6" s="170" t="s">
        <v>8</v>
      </c>
      <c r="E6" s="181">
        <v>716.8</v>
      </c>
      <c r="F6" s="169">
        <v>-5.3</v>
      </c>
      <c r="G6" s="170" t="s">
        <v>8</v>
      </c>
      <c r="I6" s="174"/>
      <c r="J6" s="189"/>
      <c r="O6" s="176"/>
    </row>
    <row r="7" spans="1:15" ht="23.1" customHeight="1">
      <c r="A7" s="185" t="s">
        <v>539</v>
      </c>
      <c r="B7" s="181" t="e">
        <v>#REF!</v>
      </c>
      <c r="C7" s="10" t="e">
        <v>#REF!</v>
      </c>
      <c r="D7" s="195" t="e">
        <f t="shared" ref="D7:D27" si="0">RANK(C7,$C$7:$C$27,0)</f>
        <v>#REF!</v>
      </c>
      <c r="E7" s="181" t="e">
        <v>#REF!</v>
      </c>
      <c r="F7" s="169" t="e">
        <v>#REF!</v>
      </c>
      <c r="G7" s="170" t="e">
        <f t="shared" ref="G7:G27" si="1">RANK(F7,$F$7:$F$27,0)</f>
        <v>#REF!</v>
      </c>
      <c r="I7" s="190"/>
      <c r="J7" s="191"/>
      <c r="K7" s="177"/>
      <c r="L7" s="192"/>
      <c r="O7" s="178"/>
    </row>
    <row r="8" spans="1:15" ht="23.1" customHeight="1">
      <c r="A8" s="185" t="s">
        <v>540</v>
      </c>
      <c r="B8" s="181" t="e">
        <v>#REF!</v>
      </c>
      <c r="C8" s="10" t="e">
        <v>#REF!</v>
      </c>
      <c r="D8" s="195" t="e">
        <f t="shared" si="0"/>
        <v>#REF!</v>
      </c>
      <c r="E8" s="181" t="e">
        <v>#REF!</v>
      </c>
      <c r="F8" s="169" t="e">
        <v>#REF!</v>
      </c>
      <c r="G8" s="170" t="e">
        <f t="shared" si="1"/>
        <v>#REF!</v>
      </c>
      <c r="I8" s="190"/>
      <c r="J8" s="191"/>
      <c r="K8" s="177"/>
      <c r="L8" s="192"/>
      <c r="O8" s="178"/>
    </row>
    <row r="9" spans="1:15" ht="23.1" customHeight="1">
      <c r="A9" s="185" t="s">
        <v>541</v>
      </c>
      <c r="B9" s="181" t="e">
        <v>#REF!</v>
      </c>
      <c r="C9" s="10" t="e">
        <v>#REF!</v>
      </c>
      <c r="D9" s="195" t="e">
        <f t="shared" si="0"/>
        <v>#REF!</v>
      </c>
      <c r="E9" s="181" t="e">
        <v>#REF!</v>
      </c>
      <c r="F9" s="169" t="e">
        <v>#REF!</v>
      </c>
      <c r="G9" s="170" t="e">
        <f t="shared" si="1"/>
        <v>#REF!</v>
      </c>
      <c r="I9" s="190"/>
      <c r="J9" s="191"/>
      <c r="K9" s="177"/>
      <c r="L9" s="192"/>
      <c r="O9" s="178"/>
    </row>
    <row r="10" spans="1:15" ht="23.1" customHeight="1">
      <c r="A10" s="185" t="s">
        <v>542</v>
      </c>
      <c r="B10" s="181" t="e">
        <v>#REF!</v>
      </c>
      <c r="C10" s="10" t="e">
        <v>#REF!</v>
      </c>
      <c r="D10" s="195" t="e">
        <f t="shared" si="0"/>
        <v>#REF!</v>
      </c>
      <c r="E10" s="181" t="e">
        <v>#REF!</v>
      </c>
      <c r="F10" s="169" t="e">
        <v>#REF!</v>
      </c>
      <c r="G10" s="170" t="e">
        <f t="shared" si="1"/>
        <v>#REF!</v>
      </c>
      <c r="I10" s="190"/>
      <c r="J10" s="191"/>
      <c r="K10" s="177"/>
      <c r="L10" s="192"/>
      <c r="O10" s="178"/>
    </row>
    <row r="11" spans="1:15" ht="23.1" customHeight="1">
      <c r="A11" s="185" t="s">
        <v>543</v>
      </c>
      <c r="B11" s="181" t="e">
        <v>#REF!</v>
      </c>
      <c r="C11" s="10" t="e">
        <v>#REF!</v>
      </c>
      <c r="D11" s="195" t="e">
        <f t="shared" si="0"/>
        <v>#REF!</v>
      </c>
      <c r="E11" s="181" t="e">
        <v>#REF!</v>
      </c>
      <c r="F11" s="169" t="e">
        <v>#REF!</v>
      </c>
      <c r="G11" s="170" t="e">
        <f t="shared" si="1"/>
        <v>#REF!</v>
      </c>
      <c r="I11" s="190"/>
      <c r="J11" s="191"/>
      <c r="K11" s="177"/>
      <c r="L11" s="192"/>
      <c r="O11" s="178"/>
    </row>
    <row r="12" spans="1:15" ht="23.1" customHeight="1">
      <c r="A12" s="185" t="s">
        <v>544</v>
      </c>
      <c r="B12" s="181" t="e">
        <v>#REF!</v>
      </c>
      <c r="C12" s="10" t="e">
        <v>#REF!</v>
      </c>
      <c r="D12" s="195" t="e">
        <f t="shared" si="0"/>
        <v>#REF!</v>
      </c>
      <c r="E12" s="181" t="e">
        <v>#REF!</v>
      </c>
      <c r="F12" s="169" t="e">
        <v>#REF!</v>
      </c>
      <c r="G12" s="170" t="e">
        <f t="shared" si="1"/>
        <v>#REF!</v>
      </c>
      <c r="I12" s="190"/>
      <c r="J12" s="191"/>
      <c r="K12" s="177"/>
      <c r="L12" s="192"/>
      <c r="O12" s="178"/>
    </row>
    <row r="13" spans="1:15" ht="23.1" customHeight="1">
      <c r="A13" s="185" t="s">
        <v>545</v>
      </c>
      <c r="B13" s="181" t="e">
        <v>#REF!</v>
      </c>
      <c r="C13" s="10" t="e">
        <v>#REF!</v>
      </c>
      <c r="D13" s="195" t="e">
        <f t="shared" si="0"/>
        <v>#REF!</v>
      </c>
      <c r="E13" s="181" t="e">
        <v>#REF!</v>
      </c>
      <c r="F13" s="169" t="e">
        <v>#REF!</v>
      </c>
      <c r="G13" s="170" t="e">
        <f t="shared" si="1"/>
        <v>#REF!</v>
      </c>
      <c r="I13" s="190"/>
      <c r="J13" s="191"/>
      <c r="K13" s="177"/>
      <c r="L13" s="192"/>
      <c r="O13" s="178"/>
    </row>
    <row r="14" spans="1:15" ht="23.1" customHeight="1">
      <c r="A14" s="185" t="s">
        <v>546</v>
      </c>
      <c r="B14" s="181" t="e">
        <v>#REF!</v>
      </c>
      <c r="C14" s="10" t="e">
        <v>#REF!</v>
      </c>
      <c r="D14" s="195" t="e">
        <f t="shared" si="0"/>
        <v>#REF!</v>
      </c>
      <c r="E14" s="181" t="e">
        <v>#REF!</v>
      </c>
      <c r="F14" s="169" t="e">
        <v>#REF!</v>
      </c>
      <c r="G14" s="170" t="e">
        <f t="shared" si="1"/>
        <v>#REF!</v>
      </c>
      <c r="I14" s="190"/>
      <c r="J14" s="191"/>
      <c r="K14" s="177"/>
      <c r="L14" s="192"/>
      <c r="O14" s="178"/>
    </row>
    <row r="15" spans="1:15" ht="23.1" customHeight="1">
      <c r="A15" s="185" t="s">
        <v>547</v>
      </c>
      <c r="B15" s="181" t="e">
        <v>#REF!</v>
      </c>
      <c r="C15" s="10">
        <v>-1.2</v>
      </c>
      <c r="D15" s="195" t="e">
        <f t="shared" si="0"/>
        <v>#REF!</v>
      </c>
      <c r="E15" s="181" t="e">
        <v>#REF!</v>
      </c>
      <c r="F15" s="169" t="e">
        <v>#REF!</v>
      </c>
      <c r="G15" s="170" t="e">
        <f t="shared" si="1"/>
        <v>#REF!</v>
      </c>
      <c r="I15" s="190"/>
      <c r="J15" s="191"/>
      <c r="K15" s="177"/>
      <c r="L15" s="192"/>
      <c r="O15" s="178"/>
    </row>
    <row r="16" spans="1:15" ht="23.1" customHeight="1">
      <c r="A16" s="185" t="s">
        <v>548</v>
      </c>
      <c r="B16" s="181" t="e">
        <v>#REF!</v>
      </c>
      <c r="C16" s="10" t="e">
        <v>#REF!</v>
      </c>
      <c r="D16" s="195" t="e">
        <f t="shared" si="0"/>
        <v>#REF!</v>
      </c>
      <c r="E16" s="181" t="e">
        <v>#REF!</v>
      </c>
      <c r="F16" s="169" t="e">
        <v>#REF!</v>
      </c>
      <c r="G16" s="170" t="e">
        <f t="shared" si="1"/>
        <v>#REF!</v>
      </c>
      <c r="I16" s="190"/>
      <c r="J16" s="191"/>
      <c r="K16" s="177"/>
      <c r="L16" s="192"/>
      <c r="O16" s="178"/>
    </row>
    <row r="17" spans="1:15" ht="23.1" customHeight="1">
      <c r="A17" s="185" t="s">
        <v>549</v>
      </c>
      <c r="B17" s="181" t="e">
        <v>#REF!</v>
      </c>
      <c r="C17" s="10" t="e">
        <v>#REF!</v>
      </c>
      <c r="D17" s="195" t="e">
        <f t="shared" si="0"/>
        <v>#REF!</v>
      </c>
      <c r="E17" s="181" t="e">
        <v>#REF!</v>
      </c>
      <c r="F17" s="169" t="e">
        <v>#REF!</v>
      </c>
      <c r="G17" s="170" t="e">
        <f t="shared" si="1"/>
        <v>#REF!</v>
      </c>
      <c r="I17" s="190"/>
      <c r="J17" s="191"/>
      <c r="K17" s="177"/>
      <c r="L17" s="192"/>
      <c r="O17" s="178"/>
    </row>
    <row r="18" spans="1:15" ht="23.1" customHeight="1">
      <c r="A18" s="185" t="s">
        <v>550</v>
      </c>
      <c r="B18" s="181" t="e">
        <v>#REF!</v>
      </c>
      <c r="C18" s="10" t="e">
        <v>#REF!</v>
      </c>
      <c r="D18" s="195" t="e">
        <f t="shared" si="0"/>
        <v>#REF!</v>
      </c>
      <c r="E18" s="181" t="e">
        <v>#REF!</v>
      </c>
      <c r="F18" s="169" t="e">
        <v>#REF!</v>
      </c>
      <c r="G18" s="170" t="e">
        <f t="shared" si="1"/>
        <v>#REF!</v>
      </c>
      <c r="I18" s="190"/>
      <c r="J18" s="191"/>
      <c r="K18" s="177"/>
      <c r="L18" s="192"/>
      <c r="O18" s="178"/>
    </row>
    <row r="19" spans="1:15" ht="23.1" customHeight="1">
      <c r="A19" s="185" t="s">
        <v>551</v>
      </c>
      <c r="B19" s="181" t="e">
        <v>#REF!</v>
      </c>
      <c r="C19" s="10" t="e">
        <v>#REF!</v>
      </c>
      <c r="D19" s="195" t="e">
        <f t="shared" si="0"/>
        <v>#REF!</v>
      </c>
      <c r="E19" s="181" t="e">
        <v>#REF!</v>
      </c>
      <c r="F19" s="169" t="e">
        <v>#REF!</v>
      </c>
      <c r="G19" s="170" t="e">
        <f t="shared" si="1"/>
        <v>#REF!</v>
      </c>
      <c r="I19" s="190"/>
      <c r="J19" s="191"/>
      <c r="K19" s="177"/>
      <c r="L19" s="192"/>
      <c r="O19" s="178"/>
    </row>
    <row r="20" spans="1:15" ht="23.1" customHeight="1">
      <c r="A20" s="185" t="s">
        <v>536</v>
      </c>
      <c r="B20" s="181" t="e">
        <v>#REF!</v>
      </c>
      <c r="C20" s="10" t="e">
        <v>#REF!</v>
      </c>
      <c r="D20" s="195" t="e">
        <f t="shared" si="0"/>
        <v>#REF!</v>
      </c>
      <c r="E20" s="181" t="e">
        <v>#REF!</v>
      </c>
      <c r="F20" s="169" t="e">
        <v>#REF!</v>
      </c>
      <c r="G20" s="170" t="e">
        <f t="shared" si="1"/>
        <v>#REF!</v>
      </c>
      <c r="I20" s="190"/>
      <c r="J20" s="191"/>
      <c r="K20" s="177"/>
      <c r="L20" s="192"/>
      <c r="O20" s="178"/>
    </row>
    <row r="21" spans="1:15" ht="23.1" customHeight="1">
      <c r="A21" s="185" t="s">
        <v>534</v>
      </c>
      <c r="B21" s="181" t="e">
        <v>#REF!</v>
      </c>
      <c r="C21" s="10" t="e">
        <v>#REF!</v>
      </c>
      <c r="D21" s="195" t="e">
        <f t="shared" si="0"/>
        <v>#REF!</v>
      </c>
      <c r="E21" s="181" t="e">
        <v>#REF!</v>
      </c>
      <c r="F21" s="169" t="e">
        <v>#REF!</v>
      </c>
      <c r="G21" s="170" t="e">
        <f t="shared" si="1"/>
        <v>#REF!</v>
      </c>
      <c r="I21" s="190"/>
      <c r="J21" s="191"/>
      <c r="K21" s="177"/>
      <c r="L21" s="192"/>
      <c r="O21" s="178"/>
    </row>
    <row r="22" spans="1:15" ht="23.1" customHeight="1">
      <c r="A22" s="185" t="s">
        <v>535</v>
      </c>
      <c r="B22" s="181" t="e">
        <v>#REF!</v>
      </c>
      <c r="C22" s="10" t="e">
        <v>#REF!</v>
      </c>
      <c r="D22" s="195" t="e">
        <f t="shared" si="0"/>
        <v>#REF!</v>
      </c>
      <c r="E22" s="181" t="e">
        <v>#REF!</v>
      </c>
      <c r="F22" s="169" t="e">
        <v>#REF!</v>
      </c>
      <c r="G22" s="170" t="e">
        <f t="shared" si="1"/>
        <v>#REF!</v>
      </c>
      <c r="I22" s="190"/>
      <c r="J22" s="191"/>
      <c r="K22" s="177"/>
      <c r="L22" s="192"/>
      <c r="O22" s="178"/>
    </row>
    <row r="23" spans="1:15" ht="23.1" customHeight="1">
      <c r="A23" s="185" t="s">
        <v>552</v>
      </c>
      <c r="B23" s="181" t="e">
        <v>#REF!</v>
      </c>
      <c r="C23" s="10" t="e">
        <v>#REF!</v>
      </c>
      <c r="D23" s="195" t="e">
        <f t="shared" si="0"/>
        <v>#REF!</v>
      </c>
      <c r="E23" s="181" t="e">
        <v>#REF!</v>
      </c>
      <c r="F23" s="169" t="e">
        <v>#REF!</v>
      </c>
      <c r="G23" s="170" t="e">
        <f t="shared" si="1"/>
        <v>#REF!</v>
      </c>
      <c r="I23" s="190"/>
      <c r="J23" s="191"/>
      <c r="K23" s="177"/>
      <c r="L23" s="192"/>
      <c r="O23" s="178"/>
    </row>
    <row r="24" spans="1:15" ht="23.1" customHeight="1">
      <c r="A24" s="185" t="s">
        <v>553</v>
      </c>
      <c r="B24" s="181" t="e">
        <v>#REF!</v>
      </c>
      <c r="C24" s="10" t="e">
        <v>#REF!</v>
      </c>
      <c r="D24" s="195" t="e">
        <f t="shared" si="0"/>
        <v>#REF!</v>
      </c>
      <c r="E24" s="181" t="e">
        <v>#REF!</v>
      </c>
      <c r="F24" s="169" t="e">
        <v>#REF!</v>
      </c>
      <c r="G24" s="170" t="e">
        <f t="shared" si="1"/>
        <v>#REF!</v>
      </c>
      <c r="I24" s="190"/>
      <c r="J24" s="191"/>
      <c r="K24" s="177"/>
      <c r="L24" s="192"/>
      <c r="O24" s="178"/>
    </row>
    <row r="25" spans="1:15" ht="23.1" customHeight="1">
      <c r="A25" s="185" t="s">
        <v>554</v>
      </c>
      <c r="B25" s="181" t="e">
        <v>#REF!</v>
      </c>
      <c r="C25" s="10" t="e">
        <v>#REF!</v>
      </c>
      <c r="D25" s="195" t="e">
        <f t="shared" si="0"/>
        <v>#REF!</v>
      </c>
      <c r="E25" s="181" t="e">
        <v>#REF!</v>
      </c>
      <c r="F25" s="169" t="e">
        <v>#REF!</v>
      </c>
      <c r="G25" s="170" t="e">
        <f t="shared" si="1"/>
        <v>#REF!</v>
      </c>
      <c r="I25" s="190"/>
      <c r="J25" s="191"/>
      <c r="K25" s="177"/>
      <c r="L25" s="192"/>
      <c r="O25" s="178"/>
    </row>
    <row r="26" spans="1:15" ht="23.1" customHeight="1">
      <c r="A26" s="185" t="s">
        <v>555</v>
      </c>
      <c r="B26" s="181" t="e">
        <v>#REF!</v>
      </c>
      <c r="C26" s="10" t="e">
        <v>#REF!</v>
      </c>
      <c r="D26" s="195" t="e">
        <f t="shared" si="0"/>
        <v>#REF!</v>
      </c>
      <c r="E26" s="181" t="e">
        <v>#REF!</v>
      </c>
      <c r="F26" s="169" t="e">
        <v>#REF!</v>
      </c>
      <c r="G26" s="170" t="e">
        <f t="shared" si="1"/>
        <v>#REF!</v>
      </c>
      <c r="I26" s="190"/>
      <c r="J26" s="191"/>
      <c r="K26" s="177"/>
      <c r="L26" s="192"/>
      <c r="O26" s="178"/>
    </row>
    <row r="27" spans="1:15" s="187" customFormat="1" ht="23.1" customHeight="1">
      <c r="A27" s="183" t="s">
        <v>556</v>
      </c>
      <c r="B27" s="184" t="e">
        <v>#REF!</v>
      </c>
      <c r="C27" s="171" t="e">
        <v>#REF!</v>
      </c>
      <c r="D27" s="196" t="e">
        <f t="shared" si="0"/>
        <v>#REF!</v>
      </c>
      <c r="E27" s="184" t="e">
        <v>#REF!</v>
      </c>
      <c r="F27" s="172" t="e">
        <v>#REF!</v>
      </c>
      <c r="G27" s="173" t="e">
        <f t="shared" si="1"/>
        <v>#REF!</v>
      </c>
      <c r="H27" s="186"/>
      <c r="I27" s="190"/>
      <c r="J27" s="191"/>
      <c r="K27" s="177"/>
      <c r="L27" s="186"/>
      <c r="M27" s="186"/>
      <c r="N27" s="186"/>
      <c r="O27" s="176"/>
    </row>
  </sheetData>
  <mergeCells count="5">
    <mergeCell ref="A1:F1"/>
    <mergeCell ref="A2:G2"/>
    <mergeCell ref="B3:D3"/>
    <mergeCell ref="E3:G3"/>
    <mergeCell ref="A3:A4"/>
  </mergeCells>
  <phoneticPr fontId="11" type="noConversion"/>
  <pageMargins left="0.75" right="0.75" top="1" bottom="1" header="0.50902777777777797" footer="0.50902777777777797"/>
</worksheet>
</file>

<file path=xl/worksheets/sheet43.xml><?xml version="1.0" encoding="utf-8"?>
<worksheet xmlns="http://schemas.openxmlformats.org/spreadsheetml/2006/main" xmlns:r="http://schemas.openxmlformats.org/officeDocument/2006/relationships">
  <sheetPr>
    <tabColor theme="5"/>
  </sheetPr>
  <dimension ref="A1:IV31"/>
  <sheetViews>
    <sheetView topLeftCell="A4" workbookViewId="0">
      <selection activeCell="G31" sqref="G31"/>
    </sheetView>
  </sheetViews>
  <sheetFormatPr defaultColWidth="9" defaultRowHeight="14.25"/>
  <cols>
    <col min="1" max="1" width="14.375" style="43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spans="1:7" ht="33.75" customHeight="1">
      <c r="A1" s="1058" t="s">
        <v>561</v>
      </c>
      <c r="B1" s="1058"/>
      <c r="C1" s="1058"/>
      <c r="D1" s="1058"/>
      <c r="E1" s="1058"/>
      <c r="F1" s="1058"/>
      <c r="G1" s="44"/>
    </row>
    <row r="2" spans="1:7" ht="20.25" customHeight="1">
      <c r="A2" s="151"/>
      <c r="B2" s="151"/>
      <c r="C2" s="1147" t="s">
        <v>562</v>
      </c>
      <c r="D2" s="1147"/>
      <c r="E2" s="1147"/>
      <c r="F2" s="1147"/>
      <c r="G2" s="44"/>
    </row>
    <row r="3" spans="1:7" s="42" customFormat="1" ht="31.5" customHeight="1">
      <c r="A3" s="1146" t="s">
        <v>563</v>
      </c>
      <c r="B3" s="1146" t="s">
        <v>10</v>
      </c>
      <c r="C3" s="1146"/>
      <c r="D3" s="152"/>
      <c r="E3" s="153"/>
      <c r="F3" s="154"/>
      <c r="G3" s="50"/>
    </row>
    <row r="4" spans="1:7" s="42" customFormat="1" ht="31.5" customHeight="1">
      <c r="A4" s="1146"/>
      <c r="B4" s="6" t="s">
        <v>564</v>
      </c>
      <c r="C4" s="7" t="s">
        <v>565</v>
      </c>
      <c r="D4" s="155"/>
      <c r="E4" s="156"/>
      <c r="F4" s="157"/>
      <c r="G4" s="50"/>
    </row>
    <row r="5" spans="1:7" ht="18" customHeight="1">
      <c r="A5" s="158">
        <v>2016</v>
      </c>
      <c r="B5" s="95"/>
      <c r="C5" s="79"/>
      <c r="D5" s="159"/>
      <c r="E5" s="159"/>
      <c r="F5" s="159"/>
    </row>
    <row r="6" spans="1:7" ht="18" customHeight="1">
      <c r="A6" s="158">
        <v>6</v>
      </c>
      <c r="B6" s="95">
        <f>ROUND(3143799,0)</f>
        <v>3143799</v>
      </c>
      <c r="C6" s="96">
        <f>ROUND(10.5,1)</f>
        <v>10.5</v>
      </c>
      <c r="D6" s="159"/>
      <c r="E6" s="159"/>
      <c r="F6" s="159"/>
    </row>
    <row r="7" spans="1:7" ht="18" customHeight="1">
      <c r="A7" s="158">
        <v>7</v>
      </c>
      <c r="B7" s="95">
        <f>ROUND(3788981,0)</f>
        <v>3788981</v>
      </c>
      <c r="C7" s="160">
        <f>ROUND(10.6,1)</f>
        <v>10.6</v>
      </c>
      <c r="D7" s="159"/>
      <c r="E7" s="159"/>
      <c r="F7" s="159"/>
    </row>
    <row r="8" spans="1:7" ht="18" customHeight="1">
      <c r="A8" s="158">
        <v>8</v>
      </c>
      <c r="B8" s="95">
        <f>ROUND(4431853,0)</f>
        <v>4431853</v>
      </c>
      <c r="C8" s="160">
        <f>ROUND(10.6,1)</f>
        <v>10.6</v>
      </c>
      <c r="D8" s="159"/>
      <c r="E8" s="159"/>
      <c r="F8" s="159"/>
    </row>
    <row r="9" spans="1:7" ht="18" customHeight="1">
      <c r="A9" s="158">
        <v>9</v>
      </c>
      <c r="B9" s="95">
        <f>ROUND(5129609,0)</f>
        <v>5129609</v>
      </c>
      <c r="C9" s="160">
        <f>ROUND(11,1)</f>
        <v>11</v>
      </c>
      <c r="D9" s="159"/>
      <c r="E9" s="159"/>
      <c r="F9" s="159"/>
    </row>
    <row r="10" spans="1:7" ht="18" customHeight="1">
      <c r="A10" s="158">
        <v>10</v>
      </c>
      <c r="B10" s="95">
        <f>ROUND(5824115,0)</f>
        <v>5824115</v>
      </c>
      <c r="C10" s="160">
        <f>ROUND(11.5,1)</f>
        <v>11.5</v>
      </c>
      <c r="D10" s="159"/>
      <c r="E10" s="159"/>
      <c r="F10" s="159"/>
    </row>
    <row r="11" spans="1:7">
      <c r="A11" s="158">
        <v>11</v>
      </c>
      <c r="B11" s="95">
        <f>ROUND(6614788,0)</f>
        <v>6614788</v>
      </c>
      <c r="C11" s="160">
        <f>ROUND(11.7,1)</f>
        <v>11.7</v>
      </c>
    </row>
    <row r="12" spans="1:7">
      <c r="A12" s="161">
        <v>12</v>
      </c>
      <c r="B12" s="40">
        <f>ROUND(7665202,0)</f>
        <v>7665202</v>
      </c>
      <c r="C12" s="20">
        <f>ROUND(11.5,1)</f>
        <v>11.5</v>
      </c>
    </row>
    <row r="13" spans="1:7" ht="18" customHeight="1">
      <c r="A13" s="158">
        <v>2017</v>
      </c>
      <c r="B13" s="95"/>
      <c r="C13" s="96"/>
      <c r="D13" s="159"/>
      <c r="E13" s="159"/>
      <c r="F13" s="159"/>
    </row>
    <row r="14" spans="1:7">
      <c r="A14" s="158">
        <v>2</v>
      </c>
      <c r="B14" s="15">
        <f>ROUND(1142507,0)</f>
        <v>1142507</v>
      </c>
      <c r="C14" s="92">
        <f>ROUND(7.5,1)</f>
        <v>7.5</v>
      </c>
    </row>
    <row r="15" spans="1:7">
      <c r="A15" s="14">
        <v>3</v>
      </c>
      <c r="B15" s="15">
        <f>ROUND(1799926,0)</f>
        <v>1799926</v>
      </c>
      <c r="C15" s="20">
        <f>ROUND(7.7,1)</f>
        <v>7.7</v>
      </c>
    </row>
    <row r="16" spans="1:7">
      <c r="A16" s="14">
        <v>4</v>
      </c>
      <c r="B16" s="15">
        <f>ROUND(2404934,0)</f>
        <v>2404934</v>
      </c>
      <c r="C16" s="20">
        <f>ROUND(8.1,1)</f>
        <v>8.1</v>
      </c>
    </row>
    <row r="17" spans="1:256">
      <c r="A17" s="14">
        <v>5</v>
      </c>
      <c r="B17" s="15">
        <f>ROUND(3144236,0)</f>
        <v>3144236</v>
      </c>
      <c r="C17" s="20">
        <f>ROUND(7.5,1)</f>
        <v>7.5</v>
      </c>
    </row>
    <row r="18" spans="1:256">
      <c r="A18" s="14">
        <v>6</v>
      </c>
      <c r="B18" s="15">
        <f>ROUND(4030867,0)</f>
        <v>4030867</v>
      </c>
      <c r="C18" s="20">
        <f>ROUND(8.5,)</f>
        <v>9</v>
      </c>
    </row>
    <row r="19" spans="1:256">
      <c r="A19" s="14">
        <v>7</v>
      </c>
      <c r="B19" s="95">
        <f>ROUND(4819573,0)</f>
        <v>4819573</v>
      </c>
      <c r="C19" s="96">
        <f>ROUND(8.8,1)</f>
        <v>8.8000000000000007</v>
      </c>
    </row>
    <row r="20" spans="1:256">
      <c r="A20" s="162">
        <v>8</v>
      </c>
      <c r="B20" s="40">
        <f>ROUND(5627416,0)</f>
        <v>5627416</v>
      </c>
      <c r="C20" s="20">
        <f>ROUND(9.1,1)</f>
        <v>9.1</v>
      </c>
    </row>
    <row r="21" spans="1:256">
      <c r="A21" s="162">
        <v>9</v>
      </c>
      <c r="B21" s="40">
        <f>ROUND(6503597,0)</f>
        <v>6503597</v>
      </c>
      <c r="C21" s="96">
        <f>ROUND(9.6,1)</f>
        <v>9.6</v>
      </c>
    </row>
    <row r="22" spans="1:256">
      <c r="A22" s="162">
        <v>10</v>
      </c>
      <c r="B22" s="40">
        <f>ROUND(7316245,0)</f>
        <v>7316245</v>
      </c>
      <c r="C22" s="20">
        <f>ROUND(9.3,1)</f>
        <v>9.3000000000000007</v>
      </c>
    </row>
    <row r="23" spans="1:256">
      <c r="A23" s="163">
        <v>11</v>
      </c>
      <c r="B23" s="15">
        <f>ROUND(8208997,0)</f>
        <v>8208997</v>
      </c>
      <c r="C23" s="20">
        <f>ROUND(9.1,1)</f>
        <v>9.1</v>
      </c>
    </row>
    <row r="24" spans="1:256">
      <c r="A24" s="163">
        <v>12</v>
      </c>
      <c r="B24" s="15">
        <f>ROUND(8357945,0)</f>
        <v>8357945</v>
      </c>
      <c r="C24" s="20">
        <f>ROUND(8.5,1)</f>
        <v>8.5</v>
      </c>
    </row>
    <row r="25" spans="1:256">
      <c r="A25" s="14">
        <v>2018</v>
      </c>
      <c r="B25" s="15"/>
      <c r="C25" s="20"/>
    </row>
    <row r="26" spans="1:256">
      <c r="A26" s="14">
        <v>2</v>
      </c>
      <c r="B26" s="15">
        <f>ROUND(1129112,0)</f>
        <v>1129112</v>
      </c>
      <c r="C26" s="20">
        <f>ROUND(0.2,1)</f>
        <v>0.2</v>
      </c>
    </row>
    <row r="27" spans="1:256">
      <c r="A27" s="14">
        <v>3</v>
      </c>
      <c r="B27" s="15">
        <f>ROUND(1788963,0)</f>
        <v>1788963</v>
      </c>
      <c r="C27" s="20">
        <f>ROUND(2.9,1)</f>
        <v>2.9</v>
      </c>
    </row>
    <row r="28" spans="1:256">
      <c r="A28" s="14">
        <v>4</v>
      </c>
      <c r="B28" s="40">
        <f>ROUND(2439875,0)</f>
        <v>2439875</v>
      </c>
      <c r="C28" s="20">
        <f>ROUND(3.8,1)</f>
        <v>3.8</v>
      </c>
    </row>
    <row r="29" spans="1:256">
      <c r="A29" s="14">
        <v>5</v>
      </c>
      <c r="B29" s="40">
        <v>3086749</v>
      </c>
      <c r="C29" s="20">
        <v>4.0999999999999996</v>
      </c>
    </row>
    <row r="30" spans="1:256">
      <c r="A30" s="21">
        <v>6</v>
      </c>
      <c r="B30" s="41">
        <v>3845140</v>
      </c>
      <c r="C30" s="23">
        <v>4.7</v>
      </c>
    </row>
    <row r="31" spans="1:256"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62"/>
      <c r="BI31" s="162"/>
      <c r="BJ31" s="162"/>
      <c r="BK31" s="162"/>
      <c r="BL31" s="162"/>
      <c r="BM31" s="162"/>
      <c r="BN31" s="162"/>
      <c r="BO31" s="162"/>
      <c r="BP31" s="162"/>
      <c r="BQ31" s="162"/>
      <c r="BR31" s="162"/>
      <c r="BS31" s="162"/>
      <c r="BT31" s="162"/>
      <c r="BU31" s="162"/>
      <c r="BV31" s="162"/>
      <c r="BW31" s="162"/>
      <c r="BX31" s="162"/>
      <c r="BY31" s="162"/>
      <c r="BZ31" s="162"/>
      <c r="CA31" s="162"/>
      <c r="CB31" s="162"/>
      <c r="CC31" s="162"/>
      <c r="CD31" s="162"/>
      <c r="CE31" s="162"/>
      <c r="CF31" s="162"/>
      <c r="CG31" s="162"/>
      <c r="CH31" s="162"/>
      <c r="CI31" s="162"/>
      <c r="CJ31" s="162"/>
      <c r="CK31" s="162"/>
      <c r="CL31" s="162"/>
      <c r="CM31" s="162"/>
      <c r="CN31" s="162"/>
      <c r="CO31" s="162"/>
      <c r="CP31" s="162"/>
      <c r="CQ31" s="162"/>
      <c r="CR31" s="162"/>
      <c r="CS31" s="162"/>
      <c r="CT31" s="162"/>
      <c r="CU31" s="162"/>
      <c r="CV31" s="162"/>
      <c r="CW31" s="162"/>
      <c r="CX31" s="162"/>
      <c r="CY31" s="162"/>
      <c r="CZ31" s="162"/>
      <c r="DA31" s="162"/>
      <c r="DB31" s="162"/>
      <c r="DC31" s="162"/>
      <c r="DD31" s="162"/>
      <c r="DE31" s="162"/>
      <c r="DF31" s="162"/>
      <c r="DG31" s="162"/>
      <c r="DH31" s="162"/>
      <c r="DI31" s="162"/>
      <c r="DJ31" s="162"/>
      <c r="DK31" s="162"/>
      <c r="DL31" s="162"/>
      <c r="DM31" s="162"/>
      <c r="DN31" s="162"/>
      <c r="DO31" s="162"/>
      <c r="DP31" s="162"/>
      <c r="DQ31" s="162"/>
      <c r="DR31" s="162"/>
      <c r="DS31" s="162"/>
      <c r="DT31" s="162"/>
      <c r="DU31" s="162"/>
      <c r="DV31" s="162"/>
      <c r="DW31" s="162"/>
      <c r="DX31" s="162"/>
      <c r="DY31" s="162"/>
      <c r="DZ31" s="162"/>
      <c r="EA31" s="162"/>
      <c r="EB31" s="162"/>
      <c r="EC31" s="162"/>
      <c r="ED31" s="162"/>
      <c r="EE31" s="162"/>
      <c r="EF31" s="162"/>
      <c r="EG31" s="162"/>
      <c r="EH31" s="162"/>
      <c r="EI31" s="162"/>
      <c r="EJ31" s="162"/>
      <c r="EK31" s="162"/>
      <c r="EL31" s="162"/>
      <c r="EM31" s="162"/>
      <c r="EN31" s="162"/>
      <c r="EO31" s="162"/>
      <c r="EP31" s="162"/>
      <c r="EQ31" s="162"/>
      <c r="ER31" s="162"/>
      <c r="ES31" s="162"/>
      <c r="ET31" s="162"/>
      <c r="EU31" s="162"/>
      <c r="EV31" s="162"/>
      <c r="EW31" s="162"/>
      <c r="EX31" s="162"/>
      <c r="EY31" s="162"/>
      <c r="EZ31" s="162"/>
      <c r="FA31" s="162"/>
      <c r="FB31" s="162"/>
      <c r="FC31" s="162"/>
      <c r="FD31" s="162"/>
      <c r="FE31" s="162"/>
      <c r="FF31" s="162"/>
      <c r="FG31" s="162"/>
      <c r="FH31" s="162"/>
      <c r="FI31" s="162"/>
      <c r="FJ31" s="162"/>
      <c r="FK31" s="162"/>
      <c r="FL31" s="162"/>
      <c r="FM31" s="162"/>
      <c r="FN31" s="162"/>
      <c r="FO31" s="162"/>
      <c r="FP31" s="162"/>
      <c r="FQ31" s="162"/>
      <c r="FR31" s="162"/>
      <c r="FS31" s="162"/>
      <c r="FT31" s="162"/>
      <c r="FU31" s="162"/>
      <c r="FV31" s="162"/>
      <c r="FW31" s="162"/>
      <c r="FX31" s="162"/>
      <c r="FY31" s="162"/>
      <c r="FZ31" s="162"/>
      <c r="GA31" s="162"/>
      <c r="GB31" s="162"/>
      <c r="GC31" s="162"/>
      <c r="GD31" s="162"/>
      <c r="GE31" s="162"/>
      <c r="GF31" s="162"/>
      <c r="GG31" s="162"/>
      <c r="GH31" s="162"/>
      <c r="GI31" s="162"/>
      <c r="GJ31" s="162"/>
      <c r="GK31" s="162"/>
      <c r="GL31" s="162"/>
      <c r="GM31" s="162"/>
      <c r="GN31" s="162"/>
      <c r="GO31" s="162"/>
      <c r="GP31" s="162"/>
      <c r="GQ31" s="162"/>
      <c r="GR31" s="162"/>
      <c r="GS31" s="162"/>
      <c r="GT31" s="162"/>
      <c r="GU31" s="162"/>
      <c r="GV31" s="162"/>
      <c r="GW31" s="162"/>
      <c r="GX31" s="162"/>
      <c r="GY31" s="162"/>
      <c r="GZ31" s="162"/>
      <c r="HA31" s="162"/>
      <c r="HB31" s="162"/>
      <c r="HC31" s="162"/>
      <c r="HD31" s="162"/>
      <c r="HE31" s="162"/>
      <c r="HF31" s="162"/>
      <c r="HG31" s="162"/>
      <c r="HH31" s="162"/>
      <c r="HI31" s="162"/>
      <c r="HJ31" s="162"/>
      <c r="HK31" s="162"/>
      <c r="HL31" s="162"/>
      <c r="HM31" s="162"/>
      <c r="HN31" s="162"/>
      <c r="HO31" s="162"/>
      <c r="HP31" s="162"/>
      <c r="HQ31" s="162"/>
      <c r="HR31" s="162"/>
      <c r="HS31" s="162"/>
      <c r="HT31" s="162"/>
      <c r="HU31" s="162"/>
      <c r="HV31" s="162"/>
      <c r="HW31" s="162"/>
      <c r="HX31" s="162"/>
      <c r="HY31" s="162"/>
      <c r="HZ31" s="162"/>
      <c r="IA31" s="162"/>
      <c r="IB31" s="162"/>
      <c r="IC31" s="162"/>
      <c r="ID31" s="162"/>
      <c r="IE31" s="162"/>
      <c r="IF31" s="162"/>
      <c r="IG31" s="162"/>
      <c r="IH31" s="162"/>
      <c r="II31" s="162"/>
      <c r="IJ31" s="162"/>
      <c r="IK31" s="162"/>
      <c r="IL31" s="162"/>
      <c r="IM31" s="162"/>
      <c r="IN31" s="162"/>
      <c r="IO31" s="162"/>
      <c r="IP31" s="162"/>
      <c r="IQ31" s="162"/>
      <c r="IR31" s="162"/>
      <c r="IS31" s="162"/>
      <c r="IT31" s="162"/>
      <c r="IU31" s="162"/>
      <c r="IV31" s="162"/>
    </row>
  </sheetData>
  <mergeCells count="4">
    <mergeCell ref="A1:F1"/>
    <mergeCell ref="C2:F2"/>
    <mergeCell ref="B3:C3"/>
    <mergeCell ref="A3:A4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sheetPr>
    <tabColor theme="5"/>
  </sheetPr>
  <dimension ref="A1:E31"/>
  <sheetViews>
    <sheetView topLeftCell="A10" workbookViewId="0">
      <selection activeCell="H27" sqref="H27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1148" t="s">
        <v>10</v>
      </c>
      <c r="B1" s="1148"/>
      <c r="C1" s="1148"/>
      <c r="D1" s="1148"/>
      <c r="E1" s="1148"/>
    </row>
    <row r="2" spans="1:5">
      <c r="E2" t="s">
        <v>37</v>
      </c>
    </row>
    <row r="3" spans="1:5" ht="9" customHeight="1"/>
    <row r="4" spans="1:5" ht="18" customHeight="1">
      <c r="A4" s="1151" t="s">
        <v>566</v>
      </c>
      <c r="B4" s="1149" t="s">
        <v>567</v>
      </c>
      <c r="C4" s="1149"/>
      <c r="D4" s="1149" t="s">
        <v>568</v>
      </c>
      <c r="E4" s="1150"/>
    </row>
    <row r="5" spans="1:5" ht="18" customHeight="1">
      <c r="A5" s="1151"/>
      <c r="B5" s="84" t="s">
        <v>569</v>
      </c>
      <c r="C5" s="84" t="s">
        <v>570</v>
      </c>
      <c r="D5" s="84" t="s">
        <v>569</v>
      </c>
      <c r="E5" s="85" t="s">
        <v>570</v>
      </c>
    </row>
    <row r="6" spans="1:5">
      <c r="A6" s="86" t="s">
        <v>378</v>
      </c>
      <c r="B6" s="87"/>
      <c r="C6" s="87"/>
      <c r="D6" s="87"/>
      <c r="E6" s="88"/>
    </row>
    <row r="7" spans="1:5">
      <c r="A7" s="86" t="s">
        <v>80</v>
      </c>
      <c r="B7" s="98">
        <v>88.065600000000003</v>
      </c>
      <c r="C7" s="97">
        <v>5.8</v>
      </c>
      <c r="D7" s="98">
        <v>114.25069999999999</v>
      </c>
      <c r="E7" s="105">
        <v>7.5</v>
      </c>
    </row>
    <row r="8" spans="1:5">
      <c r="A8" s="86" t="s">
        <v>571</v>
      </c>
      <c r="B8" s="98">
        <v>139.58199999999999</v>
      </c>
      <c r="C8" s="97">
        <v>8.8000000000000007</v>
      </c>
      <c r="D8" s="98">
        <v>179.99260000000001</v>
      </c>
      <c r="E8" s="105">
        <v>7.7</v>
      </c>
    </row>
    <row r="9" spans="1:5">
      <c r="A9" s="86" t="s">
        <v>572</v>
      </c>
      <c r="B9" s="98">
        <v>185.22800000000001</v>
      </c>
      <c r="C9" s="97">
        <v>9.4</v>
      </c>
      <c r="D9" s="98">
        <v>240.49340000000001</v>
      </c>
      <c r="E9" s="105">
        <v>8.1</v>
      </c>
    </row>
    <row r="10" spans="1:5">
      <c r="A10" s="86" t="s">
        <v>573</v>
      </c>
      <c r="B10" s="98">
        <v>242.3485</v>
      </c>
      <c r="C10" s="97">
        <v>10.199999999999999</v>
      </c>
      <c r="D10" s="98">
        <v>314.42360000000002</v>
      </c>
      <c r="E10" s="105">
        <v>7.5</v>
      </c>
    </row>
    <row r="11" spans="1:5">
      <c r="A11" s="86" t="s">
        <v>574</v>
      </c>
      <c r="B11" s="34">
        <v>314.37990000000002</v>
      </c>
      <c r="C11" s="97">
        <v>10.5</v>
      </c>
      <c r="D11" s="131">
        <v>403.08670000000001</v>
      </c>
      <c r="E11" s="79">
        <v>9</v>
      </c>
    </row>
    <row r="12" spans="1:5">
      <c r="A12" s="86" t="s">
        <v>575</v>
      </c>
      <c r="B12" s="34">
        <v>378.8981</v>
      </c>
      <c r="C12" s="97">
        <v>10.6</v>
      </c>
      <c r="D12" s="131">
        <v>481.95729999999998</v>
      </c>
      <c r="E12" s="105">
        <v>8.8000000000000007</v>
      </c>
    </row>
    <row r="13" spans="1:5">
      <c r="A13" s="86" t="s">
        <v>576</v>
      </c>
      <c r="B13" s="34">
        <v>443.18529999999998</v>
      </c>
      <c r="C13" s="97">
        <v>10.6</v>
      </c>
      <c r="D13" s="131">
        <v>562.74159999999995</v>
      </c>
      <c r="E13" s="105">
        <v>9.1</v>
      </c>
    </row>
    <row r="14" spans="1:5">
      <c r="A14" s="86" t="s">
        <v>577</v>
      </c>
      <c r="B14" s="34">
        <v>512.96090000000004</v>
      </c>
      <c r="C14" s="95">
        <v>11</v>
      </c>
      <c r="D14" s="131">
        <v>650.35969999999998</v>
      </c>
      <c r="E14" s="105">
        <v>9.6</v>
      </c>
    </row>
    <row r="15" spans="1:5">
      <c r="A15" s="86" t="s">
        <v>578</v>
      </c>
      <c r="B15" s="98">
        <v>582.41150000000005</v>
      </c>
      <c r="C15" s="97">
        <v>11.5</v>
      </c>
      <c r="D15" s="98">
        <v>731.62450000000001</v>
      </c>
      <c r="E15" s="105">
        <v>9.3000000000000007</v>
      </c>
    </row>
    <row r="16" spans="1:5">
      <c r="A16" s="86" t="s">
        <v>579</v>
      </c>
      <c r="B16" s="98">
        <v>661.47879999999998</v>
      </c>
      <c r="C16" s="97">
        <v>11.7</v>
      </c>
      <c r="D16" s="98">
        <v>820.89970000000005</v>
      </c>
      <c r="E16" s="105">
        <v>9.1</v>
      </c>
    </row>
    <row r="17" spans="1:5">
      <c r="A17" s="86" t="s">
        <v>580</v>
      </c>
      <c r="B17" s="98">
        <v>766.52020000000005</v>
      </c>
      <c r="C17" s="97">
        <v>11.5</v>
      </c>
      <c r="D17" s="98">
        <v>835.79449999999997</v>
      </c>
      <c r="E17" s="105">
        <v>8.5</v>
      </c>
    </row>
    <row r="18" spans="1:5" ht="18" customHeight="1">
      <c r="A18" s="1151" t="s">
        <v>566</v>
      </c>
      <c r="B18" s="1149" t="s">
        <v>34</v>
      </c>
      <c r="C18" s="1149"/>
      <c r="D18" s="1149" t="s">
        <v>581</v>
      </c>
      <c r="E18" s="1150"/>
    </row>
    <row r="19" spans="1:5" ht="18" customHeight="1">
      <c r="A19" s="1151"/>
      <c r="B19" s="84" t="s">
        <v>569</v>
      </c>
      <c r="C19" s="84" t="s">
        <v>570</v>
      </c>
      <c r="D19" s="84" t="s">
        <v>569</v>
      </c>
      <c r="E19" s="85" t="s">
        <v>570</v>
      </c>
    </row>
    <row r="20" spans="1:5">
      <c r="A20" s="116" t="s">
        <v>378</v>
      </c>
      <c r="B20" s="117"/>
      <c r="C20" s="117"/>
      <c r="D20" s="117"/>
      <c r="E20" s="134"/>
    </row>
    <row r="21" spans="1:5">
      <c r="A21" s="116" t="s">
        <v>80</v>
      </c>
      <c r="B21" s="118">
        <v>112.91119999999999</v>
      </c>
      <c r="C21" s="120">
        <v>0.2</v>
      </c>
      <c r="D21" s="118">
        <v>108.21</v>
      </c>
      <c r="E21" s="136">
        <v>3.7</v>
      </c>
    </row>
    <row r="22" spans="1:5">
      <c r="A22" s="116" t="s">
        <v>571</v>
      </c>
      <c r="B22" s="118">
        <v>178.8963</v>
      </c>
      <c r="C22" s="120">
        <v>2.9</v>
      </c>
      <c r="D22" s="118"/>
      <c r="E22" s="136"/>
    </row>
    <row r="23" spans="1:5">
      <c r="A23" s="116" t="s">
        <v>572</v>
      </c>
      <c r="B23" s="118">
        <v>243.98750000000001</v>
      </c>
      <c r="C23" s="120">
        <v>3.8</v>
      </c>
      <c r="D23" s="118"/>
      <c r="E23" s="136"/>
    </row>
    <row r="24" spans="1:5">
      <c r="A24" s="116" t="s">
        <v>573</v>
      </c>
      <c r="B24" s="118">
        <v>308.67489999999998</v>
      </c>
      <c r="C24" s="120">
        <v>4.0999999999999996</v>
      </c>
      <c r="D24" s="118"/>
      <c r="E24" s="136"/>
    </row>
    <row r="25" spans="1:5">
      <c r="A25" s="116" t="s">
        <v>574</v>
      </c>
      <c r="B25" s="118">
        <v>384.51400000000001</v>
      </c>
      <c r="C25" s="120">
        <v>4.7</v>
      </c>
      <c r="D25" s="118"/>
      <c r="E25" s="136"/>
    </row>
    <row r="26" spans="1:5">
      <c r="A26" s="116" t="s">
        <v>575</v>
      </c>
      <c r="B26" s="118">
        <v>452.67399999999998</v>
      </c>
      <c r="C26" s="120">
        <v>3.7</v>
      </c>
      <c r="D26" s="118"/>
      <c r="E26" s="136"/>
    </row>
    <row r="27" spans="1:5">
      <c r="A27" s="116" t="s">
        <v>576</v>
      </c>
      <c r="B27" s="118">
        <v>518.21770000000004</v>
      </c>
      <c r="C27" s="120">
        <v>2.2000000000000002</v>
      </c>
      <c r="D27" s="118"/>
      <c r="E27" s="136"/>
    </row>
    <row r="28" spans="1:5">
      <c r="A28" s="116" t="s">
        <v>577</v>
      </c>
      <c r="B28" s="118">
        <v>593.4615</v>
      </c>
      <c r="C28" s="120">
        <v>4.0999999999999996</v>
      </c>
      <c r="D28" s="118"/>
      <c r="E28" s="119"/>
    </row>
    <row r="29" spans="1:5">
      <c r="A29" s="116" t="s">
        <v>578</v>
      </c>
      <c r="B29" s="118">
        <v>635.98119999999994</v>
      </c>
      <c r="C29" s="120">
        <v>4.3</v>
      </c>
      <c r="D29" s="118"/>
      <c r="E29" s="119"/>
    </row>
    <row r="30" spans="1:5">
      <c r="A30" s="116" t="s">
        <v>579</v>
      </c>
      <c r="B30" s="118">
        <v>705.74270000000001</v>
      </c>
      <c r="C30" s="120">
        <v>4.8</v>
      </c>
      <c r="D30" s="118"/>
      <c r="E30" s="123"/>
    </row>
    <row r="31" spans="1:5">
      <c r="A31" s="125" t="s">
        <v>580</v>
      </c>
      <c r="B31" s="126">
        <v>769.97</v>
      </c>
      <c r="C31" s="127">
        <v>5</v>
      </c>
      <c r="D31" s="126"/>
      <c r="E31" s="150"/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1" type="noConversion"/>
  <pageMargins left="0.75" right="0.75" top="1" bottom="1" header="0.50902777777777797" footer="0.50902777777777797"/>
</worksheet>
</file>

<file path=xl/worksheets/sheet45.xml><?xml version="1.0" encoding="utf-8"?>
<worksheet xmlns="http://schemas.openxmlformats.org/spreadsheetml/2006/main" xmlns:r="http://schemas.openxmlformats.org/officeDocument/2006/relationships">
  <sheetPr>
    <tabColor theme="5"/>
  </sheetPr>
  <dimension ref="A1:E31"/>
  <sheetViews>
    <sheetView topLeftCell="A7" workbookViewId="0">
      <selection activeCell="H18" sqref="H18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1148" t="s">
        <v>11</v>
      </c>
      <c r="B1" s="1148"/>
      <c r="C1" s="1148"/>
      <c r="D1" s="1148"/>
      <c r="E1" s="1148"/>
    </row>
    <row r="2" spans="1:5">
      <c r="E2" t="s">
        <v>37</v>
      </c>
    </row>
    <row r="3" spans="1:5" ht="9" customHeight="1"/>
    <row r="4" spans="1:5" ht="18" customHeight="1">
      <c r="A4" s="1154" t="s">
        <v>566</v>
      </c>
      <c r="B4" s="1152" t="s">
        <v>567</v>
      </c>
      <c r="C4" s="1152"/>
      <c r="D4" s="1152" t="s">
        <v>568</v>
      </c>
      <c r="E4" s="1153"/>
    </row>
    <row r="5" spans="1:5" ht="18" customHeight="1">
      <c r="A5" s="1151"/>
      <c r="B5" s="84" t="s">
        <v>569</v>
      </c>
      <c r="C5" s="84" t="s">
        <v>570</v>
      </c>
      <c r="D5" s="84" t="s">
        <v>569</v>
      </c>
      <c r="E5" s="85" t="s">
        <v>570</v>
      </c>
    </row>
    <row r="6" spans="1:5">
      <c r="A6" s="86" t="s">
        <v>378</v>
      </c>
      <c r="B6" s="87"/>
      <c r="C6" s="87"/>
      <c r="D6" s="88"/>
      <c r="E6" s="134"/>
    </row>
    <row r="7" spans="1:5">
      <c r="A7" s="86" t="s">
        <v>80</v>
      </c>
      <c r="B7" s="98">
        <v>75.640299999999996</v>
      </c>
      <c r="C7" s="89">
        <v>11.1</v>
      </c>
      <c r="D7" s="98">
        <v>79.648799999999994</v>
      </c>
      <c r="E7" s="109">
        <v>5.3</v>
      </c>
    </row>
    <row r="8" spans="1:5">
      <c r="A8" s="86" t="s">
        <v>571</v>
      </c>
      <c r="B8" s="98">
        <v>146.0309</v>
      </c>
      <c r="C8" s="89">
        <v>6</v>
      </c>
      <c r="D8" s="98">
        <v>157.5746</v>
      </c>
      <c r="E8" s="109">
        <v>7.9</v>
      </c>
    </row>
    <row r="9" spans="1:5">
      <c r="A9" s="86" t="s">
        <v>572</v>
      </c>
      <c r="B9" s="98">
        <v>207.13409999999999</v>
      </c>
      <c r="C9" s="89">
        <v>5</v>
      </c>
      <c r="D9" s="98">
        <v>205.67429999999999</v>
      </c>
      <c r="E9" s="109">
        <v>-0.7</v>
      </c>
    </row>
    <row r="10" spans="1:5">
      <c r="A10" s="86" t="s">
        <v>573</v>
      </c>
      <c r="B10" s="98">
        <v>307.92829999999998</v>
      </c>
      <c r="C10" s="89">
        <v>7.2</v>
      </c>
      <c r="D10" s="98">
        <v>288.99680000000001</v>
      </c>
      <c r="E10" s="109">
        <v>-6.1</v>
      </c>
    </row>
    <row r="11" spans="1:5">
      <c r="A11" s="86" t="s">
        <v>574</v>
      </c>
      <c r="B11" s="98">
        <v>509.65629999999999</v>
      </c>
      <c r="C11" s="89">
        <v>15.1</v>
      </c>
      <c r="D11" s="98">
        <v>560.43820000000005</v>
      </c>
      <c r="E11" s="109">
        <v>10</v>
      </c>
    </row>
    <row r="12" spans="1:5">
      <c r="A12" s="86" t="s">
        <v>575</v>
      </c>
      <c r="B12" s="98">
        <v>626.35050000000001</v>
      </c>
      <c r="C12" s="89">
        <v>16.3</v>
      </c>
      <c r="D12" s="98">
        <v>686.4511</v>
      </c>
      <c r="E12" s="144">
        <v>9.6</v>
      </c>
    </row>
    <row r="13" spans="1:5">
      <c r="A13" s="86" t="s">
        <v>576</v>
      </c>
      <c r="B13" s="98">
        <v>737.22029999999995</v>
      </c>
      <c r="C13" s="89">
        <v>24.8</v>
      </c>
      <c r="D13" s="98">
        <v>809.69439999999997</v>
      </c>
      <c r="E13" s="109">
        <v>9.8000000000000007</v>
      </c>
    </row>
    <row r="14" spans="1:5">
      <c r="A14" s="86" t="s">
        <v>577</v>
      </c>
      <c r="B14" s="98">
        <v>871.74919999999997</v>
      </c>
      <c r="C14" s="89">
        <v>23.5</v>
      </c>
      <c r="D14" s="98">
        <v>977.24040000000002</v>
      </c>
      <c r="E14" s="109">
        <v>12.1</v>
      </c>
    </row>
    <row r="15" spans="1:5">
      <c r="A15" s="86" t="s">
        <v>578</v>
      </c>
      <c r="B15" s="98">
        <v>1021.5452</v>
      </c>
      <c r="C15" s="89">
        <v>22.6</v>
      </c>
      <c r="D15" s="98">
        <v>1136.7530999999999</v>
      </c>
      <c r="E15" s="109">
        <v>11.3</v>
      </c>
    </row>
    <row r="16" spans="1:5">
      <c r="A16" s="86" t="s">
        <v>579</v>
      </c>
      <c r="B16" s="98">
        <v>1200.0485000000001</v>
      </c>
      <c r="C16" s="89">
        <v>23.9</v>
      </c>
      <c r="D16" s="98">
        <v>1337.6062999999999</v>
      </c>
      <c r="E16" s="109">
        <v>11.5</v>
      </c>
    </row>
    <row r="17" spans="1:5">
      <c r="A17" s="86" t="s">
        <v>580</v>
      </c>
      <c r="B17" s="98">
        <v>1531.5995</v>
      </c>
      <c r="C17" s="89">
        <v>16.600000000000001</v>
      </c>
      <c r="D17" s="98">
        <v>1641.5341000000001</v>
      </c>
      <c r="E17" s="109">
        <v>7.2</v>
      </c>
    </row>
    <row r="18" spans="1:5" ht="18" customHeight="1">
      <c r="A18" s="1151" t="s">
        <v>566</v>
      </c>
      <c r="B18" s="1152" t="s">
        <v>34</v>
      </c>
      <c r="C18" s="1152"/>
      <c r="D18" s="1152" t="s">
        <v>581</v>
      </c>
      <c r="E18" s="1153"/>
    </row>
    <row r="19" spans="1:5" ht="18" customHeight="1">
      <c r="A19" s="1151"/>
      <c r="B19" s="84" t="s">
        <v>569</v>
      </c>
      <c r="C19" s="84" t="s">
        <v>570</v>
      </c>
      <c r="D19" s="84" t="s">
        <v>569</v>
      </c>
      <c r="E19" s="85" t="s">
        <v>570</v>
      </c>
    </row>
    <row r="20" spans="1:5">
      <c r="A20" s="86" t="s">
        <v>378</v>
      </c>
      <c r="B20" s="87"/>
      <c r="C20" s="88"/>
      <c r="D20" s="117"/>
      <c r="E20" s="116"/>
    </row>
    <row r="21" spans="1:5">
      <c r="A21" s="86" t="s">
        <v>80</v>
      </c>
      <c r="B21" s="98">
        <v>84.476100000000002</v>
      </c>
      <c r="C21" s="10">
        <v>8.8000000000000007</v>
      </c>
      <c r="D21" s="118"/>
      <c r="E21" s="20">
        <v>16.100000000000001</v>
      </c>
    </row>
    <row r="22" spans="1:5">
      <c r="A22" s="86" t="s">
        <v>571</v>
      </c>
      <c r="B22" s="98">
        <v>202.00219999999999</v>
      </c>
      <c r="C22" s="10">
        <v>31.6</v>
      </c>
      <c r="D22" s="118"/>
      <c r="E22" s="20"/>
    </row>
    <row r="23" spans="1:5">
      <c r="A23" s="86" t="s">
        <v>572</v>
      </c>
      <c r="B23" s="98">
        <v>263.92750000000001</v>
      </c>
      <c r="C23" s="10">
        <v>31</v>
      </c>
      <c r="D23" s="118"/>
      <c r="E23" s="20"/>
    </row>
    <row r="24" spans="1:5">
      <c r="A24" s="86" t="s">
        <v>573</v>
      </c>
      <c r="B24" s="98">
        <v>339.1968</v>
      </c>
      <c r="C24" s="10">
        <v>19.600000000000001</v>
      </c>
      <c r="D24" s="118"/>
      <c r="E24" s="20"/>
    </row>
    <row r="25" spans="1:5">
      <c r="A25" s="86" t="s">
        <v>574</v>
      </c>
      <c r="B25" s="98">
        <v>551.5829</v>
      </c>
      <c r="C25" s="10">
        <v>13.6</v>
      </c>
      <c r="D25" s="118"/>
      <c r="E25" s="20"/>
    </row>
    <row r="26" spans="1:5">
      <c r="A26" s="86" t="s">
        <v>575</v>
      </c>
      <c r="B26" s="98">
        <v>617.64359999999999</v>
      </c>
      <c r="C26" s="10">
        <v>8.1</v>
      </c>
      <c r="D26" s="118"/>
      <c r="E26" s="20"/>
    </row>
    <row r="27" spans="1:5">
      <c r="A27" s="86" t="s">
        <v>576</v>
      </c>
      <c r="B27" s="98">
        <v>691.78949999999998</v>
      </c>
      <c r="C27" s="10">
        <v>6.8</v>
      </c>
      <c r="D27" s="118"/>
      <c r="E27" s="20"/>
    </row>
    <row r="28" spans="1:5">
      <c r="A28" s="86" t="s">
        <v>577</v>
      </c>
      <c r="B28" s="98">
        <v>822.59540000000004</v>
      </c>
      <c r="C28" s="10">
        <v>10.3</v>
      </c>
      <c r="D28" s="118"/>
      <c r="E28" s="145"/>
    </row>
    <row r="29" spans="1:5">
      <c r="A29" s="86" t="s">
        <v>578</v>
      </c>
      <c r="B29" s="98">
        <v>934.24350000000004</v>
      </c>
      <c r="C29" s="10">
        <v>11.3</v>
      </c>
      <c r="D29" s="118"/>
      <c r="E29" s="145"/>
    </row>
    <row r="30" spans="1:5">
      <c r="A30" s="86" t="s">
        <v>579</v>
      </c>
      <c r="B30" s="98">
        <v>1085.1949</v>
      </c>
      <c r="C30" s="10">
        <v>13.7</v>
      </c>
      <c r="D30" s="118"/>
      <c r="E30" s="145"/>
    </row>
    <row r="31" spans="1:5">
      <c r="A31" s="99" t="s">
        <v>580</v>
      </c>
      <c r="B31" s="146">
        <v>1260.1176</v>
      </c>
      <c r="C31" s="147">
        <v>12.8</v>
      </c>
      <c r="D31" s="148"/>
      <c r="E31" s="149"/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1" type="noConversion"/>
  <pageMargins left="0.75" right="0.75" top="1" bottom="1" header="0.50902777777777797" footer="0.50902777777777797"/>
</worksheet>
</file>

<file path=xl/worksheets/sheet46.xml><?xml version="1.0" encoding="utf-8"?>
<worksheet xmlns="http://schemas.openxmlformats.org/spreadsheetml/2006/main" xmlns:r="http://schemas.openxmlformats.org/officeDocument/2006/relationships">
  <sheetPr>
    <tabColor theme="5"/>
  </sheetPr>
  <dimension ref="A1:E31"/>
  <sheetViews>
    <sheetView workbookViewId="0">
      <selection activeCell="H9" sqref="H9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1148" t="s">
        <v>15</v>
      </c>
      <c r="B1" s="1148"/>
      <c r="C1" s="1148"/>
      <c r="D1" s="1148"/>
      <c r="E1" s="1148"/>
    </row>
    <row r="2" spans="1:5">
      <c r="E2" t="s">
        <v>37</v>
      </c>
    </row>
    <row r="3" spans="1:5" ht="9" customHeight="1"/>
    <row r="4" spans="1:5" ht="18" customHeight="1">
      <c r="A4" s="1154" t="s">
        <v>566</v>
      </c>
      <c r="B4" s="1152" t="s">
        <v>567</v>
      </c>
      <c r="C4" s="1152"/>
      <c r="D4" s="1152" t="s">
        <v>568</v>
      </c>
      <c r="E4" s="1153"/>
    </row>
    <row r="5" spans="1:5" ht="18" customHeight="1">
      <c r="A5" s="1151"/>
      <c r="B5" s="84" t="s">
        <v>569</v>
      </c>
      <c r="C5" s="84" t="s">
        <v>570</v>
      </c>
      <c r="D5" s="84" t="s">
        <v>569</v>
      </c>
      <c r="E5" s="85" t="s">
        <v>570</v>
      </c>
    </row>
    <row r="6" spans="1:5">
      <c r="A6" s="86" t="s">
        <v>378</v>
      </c>
      <c r="B6" s="87"/>
      <c r="C6" s="87"/>
      <c r="D6" s="87"/>
      <c r="E6" s="88"/>
    </row>
    <row r="7" spans="1:5">
      <c r="A7" s="86" t="s">
        <v>80</v>
      </c>
      <c r="B7" s="98">
        <v>223.3322</v>
      </c>
      <c r="C7" s="89">
        <v>9</v>
      </c>
      <c r="D7" s="98">
        <v>252.0522</v>
      </c>
      <c r="E7" s="90">
        <v>12</v>
      </c>
    </row>
    <row r="8" spans="1:5">
      <c r="A8" s="86" t="s">
        <v>571</v>
      </c>
      <c r="B8" s="98">
        <v>331.63600000000002</v>
      </c>
      <c r="C8" s="89">
        <v>9</v>
      </c>
      <c r="D8" s="98">
        <v>375.50659999999999</v>
      </c>
      <c r="E8" s="90">
        <v>12.1</v>
      </c>
    </row>
    <row r="9" spans="1:5">
      <c r="A9" s="86" t="s">
        <v>572</v>
      </c>
      <c r="B9" s="98">
        <v>440.19990000000001</v>
      </c>
      <c r="C9" s="89">
        <v>8.9</v>
      </c>
      <c r="D9" s="98">
        <v>496.84949999999998</v>
      </c>
      <c r="E9" s="90">
        <v>11.8</v>
      </c>
    </row>
    <row r="10" spans="1:5">
      <c r="A10" s="86" t="s">
        <v>573</v>
      </c>
      <c r="B10" s="98">
        <v>557.79859999999996</v>
      </c>
      <c r="C10" s="89">
        <v>8.9</v>
      </c>
      <c r="D10" s="98">
        <v>624.77110000000005</v>
      </c>
      <c r="E10" s="90">
        <v>11.5</v>
      </c>
    </row>
    <row r="11" spans="1:5">
      <c r="A11" s="86" t="s">
        <v>574</v>
      </c>
      <c r="B11" s="98">
        <v>676.02059999999994</v>
      </c>
      <c r="C11" s="89">
        <v>8.8000000000000007</v>
      </c>
      <c r="D11" s="98">
        <v>754.39840000000004</v>
      </c>
      <c r="E11" s="90">
        <v>11.1</v>
      </c>
    </row>
    <row r="12" spans="1:5">
      <c r="A12" s="86" t="s">
        <v>575</v>
      </c>
      <c r="B12" s="98">
        <v>797.58900000000006</v>
      </c>
      <c r="C12" s="89">
        <v>9</v>
      </c>
      <c r="D12" s="98">
        <v>886.51319999999998</v>
      </c>
      <c r="E12" s="90">
        <v>10.8</v>
      </c>
    </row>
    <row r="13" spans="1:5">
      <c r="A13" s="86" t="s">
        <v>576</v>
      </c>
      <c r="B13" s="98">
        <v>919.37030000000004</v>
      </c>
      <c r="C13" s="89">
        <v>8.9</v>
      </c>
      <c r="D13" s="98">
        <v>1016.5674</v>
      </c>
      <c r="E13" s="90">
        <v>10.199999999999999</v>
      </c>
    </row>
    <row r="14" spans="1:5">
      <c r="A14" s="86" t="s">
        <v>577</v>
      </c>
      <c r="B14" s="98">
        <v>1045.7008000000001</v>
      </c>
      <c r="C14" s="89">
        <v>9.3000000000000007</v>
      </c>
      <c r="D14" s="98">
        <v>1155.8877</v>
      </c>
      <c r="E14" s="90">
        <v>10.199999999999999</v>
      </c>
    </row>
    <row r="15" spans="1:5">
      <c r="A15" s="86" t="s">
        <v>578</v>
      </c>
      <c r="B15" s="98">
        <v>1178.2159999999999</v>
      </c>
      <c r="C15" s="89">
        <v>9.5</v>
      </c>
      <c r="D15" s="98">
        <v>1296.2203999999999</v>
      </c>
      <c r="E15" s="90">
        <v>10.199999999999999</v>
      </c>
    </row>
    <row r="16" spans="1:5">
      <c r="A16" s="86" t="s">
        <v>579</v>
      </c>
      <c r="B16" s="98">
        <v>1302.5842</v>
      </c>
      <c r="C16" s="89">
        <v>9.4</v>
      </c>
      <c r="D16" s="98">
        <v>1433.9245000000001</v>
      </c>
      <c r="E16" s="90">
        <v>10.199999999999999</v>
      </c>
    </row>
    <row r="17" spans="1:5">
      <c r="A17" s="86" t="s">
        <v>580</v>
      </c>
      <c r="B17" s="98">
        <v>1432.9570000000001</v>
      </c>
      <c r="C17" s="89">
        <v>9.5</v>
      </c>
      <c r="D17" s="98">
        <v>1578.0802000000001</v>
      </c>
      <c r="E17" s="90">
        <v>10.1</v>
      </c>
    </row>
    <row r="18" spans="1:5" ht="18" customHeight="1">
      <c r="A18" s="1151" t="s">
        <v>566</v>
      </c>
      <c r="B18" s="1152" t="s">
        <v>34</v>
      </c>
      <c r="C18" s="1152"/>
      <c r="D18" s="1152" t="s">
        <v>581</v>
      </c>
      <c r="E18" s="1153"/>
    </row>
    <row r="19" spans="1:5" ht="18" customHeight="1">
      <c r="A19" s="1151"/>
      <c r="B19" s="84" t="s">
        <v>569</v>
      </c>
      <c r="C19" s="84" t="s">
        <v>570</v>
      </c>
      <c r="D19" s="84" t="s">
        <v>569</v>
      </c>
      <c r="E19" s="85" t="s">
        <v>570</v>
      </c>
    </row>
    <row r="20" spans="1:5">
      <c r="A20" s="86" t="s">
        <v>378</v>
      </c>
      <c r="B20" s="87"/>
      <c r="C20" s="87"/>
      <c r="D20" s="87"/>
      <c r="E20" s="88"/>
    </row>
    <row r="21" spans="1:5">
      <c r="A21" s="86" t="s">
        <v>80</v>
      </c>
      <c r="B21" s="133">
        <v>276.1961</v>
      </c>
      <c r="C21" s="120">
        <v>10.1</v>
      </c>
      <c r="D21" s="140">
        <v>298.7</v>
      </c>
      <c r="E21" s="141">
        <v>8.1</v>
      </c>
    </row>
    <row r="22" spans="1:5">
      <c r="A22" s="86" t="s">
        <v>571</v>
      </c>
      <c r="B22" s="133">
        <v>412.05630000000002</v>
      </c>
      <c r="C22" s="120">
        <v>10.1</v>
      </c>
      <c r="D22" s="118"/>
      <c r="E22" s="142"/>
    </row>
    <row r="23" spans="1:5">
      <c r="A23" s="86" t="s">
        <v>572</v>
      </c>
      <c r="B23" s="133">
        <v>546.28399999999999</v>
      </c>
      <c r="C23" s="120">
        <v>10.1</v>
      </c>
      <c r="D23" s="118"/>
      <c r="E23" s="142"/>
    </row>
    <row r="24" spans="1:5">
      <c r="A24" s="86" t="s">
        <v>573</v>
      </c>
      <c r="B24" s="133">
        <v>682.91740000000004</v>
      </c>
      <c r="C24" s="120">
        <v>10</v>
      </c>
      <c r="D24" s="118"/>
      <c r="E24" s="142"/>
    </row>
    <row r="25" spans="1:5">
      <c r="A25" s="86" t="s">
        <v>574</v>
      </c>
      <c r="B25" s="133">
        <v>821.44159999999999</v>
      </c>
      <c r="C25" s="120">
        <v>10</v>
      </c>
      <c r="D25" s="118"/>
      <c r="E25" s="142"/>
    </row>
    <row r="26" spans="1:5">
      <c r="A26" s="86" t="s">
        <v>575</v>
      </c>
      <c r="B26" s="133">
        <v>965.60069999999996</v>
      </c>
      <c r="C26" s="120">
        <v>10.199999999999999</v>
      </c>
      <c r="D26" s="118"/>
      <c r="E26" s="142"/>
    </row>
    <row r="27" spans="1:5">
      <c r="A27" s="86" t="s">
        <v>576</v>
      </c>
      <c r="B27" s="133">
        <v>1106.5085999999999</v>
      </c>
      <c r="C27" s="120">
        <v>10.3</v>
      </c>
      <c r="D27" s="118"/>
      <c r="E27" s="142"/>
    </row>
    <row r="28" spans="1:5">
      <c r="A28" s="86" t="s">
        <v>577</v>
      </c>
      <c r="B28" s="133">
        <v>1255.6134</v>
      </c>
      <c r="C28" s="120">
        <v>10.4</v>
      </c>
      <c r="D28" s="118"/>
      <c r="E28" s="124"/>
    </row>
    <row r="29" spans="1:5">
      <c r="A29" s="86" t="s">
        <v>578</v>
      </c>
      <c r="B29" s="133">
        <v>1404.1089999999999</v>
      </c>
      <c r="C29" s="120">
        <v>10.3</v>
      </c>
      <c r="D29" s="118"/>
      <c r="E29" s="124"/>
    </row>
    <row r="30" spans="1:5">
      <c r="A30" s="86" t="s">
        <v>579</v>
      </c>
      <c r="B30" s="133">
        <v>1549.0710999999999</v>
      </c>
      <c r="C30" s="120">
        <v>10.3</v>
      </c>
      <c r="D30" s="118"/>
      <c r="E30" s="124"/>
    </row>
    <row r="31" spans="1:5">
      <c r="A31" s="99" t="s">
        <v>580</v>
      </c>
      <c r="B31" s="143">
        <v>1697.3</v>
      </c>
      <c r="C31" s="127">
        <v>10.3</v>
      </c>
      <c r="D31" s="128"/>
      <c r="E31" s="129"/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1" type="noConversion"/>
  <pageMargins left="0.75" right="0.75" top="1" bottom="1" header="0.50902777777777797" footer="0.50902777777777797"/>
</worksheet>
</file>

<file path=xl/worksheets/sheet47.xml><?xml version="1.0" encoding="utf-8"?>
<worksheet xmlns="http://schemas.openxmlformats.org/spreadsheetml/2006/main" xmlns:r="http://schemas.openxmlformats.org/officeDocument/2006/relationships">
  <sheetPr>
    <tabColor theme="5"/>
  </sheetPr>
  <dimension ref="A1:E32"/>
  <sheetViews>
    <sheetView workbookViewId="0">
      <selection activeCell="I3" sqref="I3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1.25" customWidth="1"/>
  </cols>
  <sheetData>
    <row r="1" spans="1:5" ht="27" customHeight="1">
      <c r="A1" s="1148" t="s">
        <v>35</v>
      </c>
      <c r="B1" s="1148"/>
      <c r="C1" s="1148"/>
      <c r="D1" s="1148"/>
      <c r="E1" s="1148"/>
    </row>
    <row r="2" spans="1:5">
      <c r="E2" t="s">
        <v>582</v>
      </c>
    </row>
    <row r="3" spans="1:5" ht="9" customHeight="1"/>
    <row r="4" spans="1:5" ht="18" customHeight="1">
      <c r="A4" s="1151" t="s">
        <v>566</v>
      </c>
      <c r="B4" s="1152" t="s">
        <v>567</v>
      </c>
      <c r="C4" s="1152"/>
      <c r="D4" s="1152" t="s">
        <v>568</v>
      </c>
      <c r="E4" s="1153"/>
    </row>
    <row r="5" spans="1:5" ht="18" customHeight="1">
      <c r="A5" s="1151"/>
      <c r="B5" s="84" t="s">
        <v>569</v>
      </c>
      <c r="C5" s="84" t="s">
        <v>570</v>
      </c>
      <c r="D5" s="84" t="s">
        <v>569</v>
      </c>
      <c r="E5" s="85" t="s">
        <v>570</v>
      </c>
    </row>
    <row r="6" spans="1:5">
      <c r="A6" s="86" t="s">
        <v>378</v>
      </c>
      <c r="B6" s="87"/>
      <c r="C6" s="87"/>
      <c r="D6" s="130"/>
      <c r="E6" s="116"/>
    </row>
    <row r="7" spans="1:5">
      <c r="A7" s="86" t="s">
        <v>80</v>
      </c>
      <c r="B7" s="131">
        <v>38.273299999999999</v>
      </c>
      <c r="C7" s="132">
        <v>-12.3</v>
      </c>
      <c r="D7" s="133">
        <v>41.5396</v>
      </c>
      <c r="E7" s="20">
        <v>14</v>
      </c>
    </row>
    <row r="8" spans="1:5">
      <c r="A8" s="86" t="s">
        <v>571</v>
      </c>
      <c r="B8" s="131">
        <v>58.064900000000002</v>
      </c>
      <c r="C8" s="132">
        <v>-7.6</v>
      </c>
      <c r="D8" s="133">
        <v>72.846400000000003</v>
      </c>
      <c r="E8" s="20">
        <v>29.6</v>
      </c>
    </row>
    <row r="9" spans="1:5">
      <c r="A9" s="86" t="s">
        <v>572</v>
      </c>
      <c r="B9" s="131">
        <v>74.764899999999997</v>
      </c>
      <c r="C9" s="132">
        <v>-13.4</v>
      </c>
      <c r="D9" s="133">
        <v>100.1592</v>
      </c>
      <c r="E9" s="20">
        <v>37.299999999999997</v>
      </c>
    </row>
    <row r="10" spans="1:5">
      <c r="A10" s="86" t="s">
        <v>573</v>
      </c>
      <c r="B10" s="131">
        <v>97.343299999999999</v>
      </c>
      <c r="C10" s="132">
        <v>-16.3</v>
      </c>
      <c r="D10" s="133">
        <v>134.18539999999999</v>
      </c>
      <c r="E10" s="20">
        <v>40.5</v>
      </c>
    </row>
    <row r="11" spans="1:5">
      <c r="A11" s="86" t="s">
        <v>574</v>
      </c>
      <c r="B11" s="131">
        <v>120.4325</v>
      </c>
      <c r="C11" s="132">
        <v>-20.8</v>
      </c>
      <c r="D11" s="133">
        <v>163.98159999999999</v>
      </c>
      <c r="E11" s="20">
        <v>38.299999999999997</v>
      </c>
    </row>
    <row r="12" spans="1:5">
      <c r="A12" s="86" t="s">
        <v>575</v>
      </c>
      <c r="B12" s="131">
        <v>147.29349999999999</v>
      </c>
      <c r="C12" s="132">
        <v>-19.600000000000001</v>
      </c>
      <c r="D12" s="133">
        <v>196.4922</v>
      </c>
      <c r="E12" s="20">
        <v>35.1</v>
      </c>
    </row>
    <row r="13" spans="1:5">
      <c r="A13" s="86" t="s">
        <v>576</v>
      </c>
      <c r="B13" s="131">
        <v>177.3237</v>
      </c>
      <c r="C13" s="132">
        <v>-18.100000000000001</v>
      </c>
      <c r="D13" s="133">
        <v>225.07079999999999</v>
      </c>
      <c r="E13" s="20">
        <v>28.2</v>
      </c>
    </row>
    <row r="14" spans="1:5">
      <c r="A14" s="86" t="s">
        <v>577</v>
      </c>
      <c r="B14" s="131">
        <v>213.14490000000001</v>
      </c>
      <c r="C14" s="132">
        <v>-11.9</v>
      </c>
      <c r="D14" s="133">
        <v>249.32230000000001</v>
      </c>
      <c r="E14" s="20">
        <v>18</v>
      </c>
    </row>
    <row r="15" spans="1:5">
      <c r="A15" s="86" t="s">
        <v>578</v>
      </c>
      <c r="B15" s="131">
        <v>240.9083</v>
      </c>
      <c r="C15" s="132">
        <v>-8.6</v>
      </c>
      <c r="D15" s="133">
        <v>271.80349999999999</v>
      </c>
      <c r="E15" s="20">
        <v>13.7</v>
      </c>
    </row>
    <row r="16" spans="1:5">
      <c r="A16" s="86" t="s">
        <v>579</v>
      </c>
      <c r="B16" s="131">
        <v>271.38979999999998</v>
      </c>
      <c r="C16" s="132">
        <v>-5.2</v>
      </c>
      <c r="D16" s="133">
        <v>302.62740000000002</v>
      </c>
      <c r="E16" s="20">
        <v>11.5</v>
      </c>
    </row>
    <row r="17" spans="1:5">
      <c r="A17" s="86" t="s">
        <v>580</v>
      </c>
      <c r="B17" s="131">
        <v>304.4443</v>
      </c>
      <c r="C17" s="132">
        <v>-4.5999999999999996</v>
      </c>
      <c r="D17" s="133">
        <v>345.6404</v>
      </c>
      <c r="E17" s="20">
        <v>13.5</v>
      </c>
    </row>
    <row r="18" spans="1:5" ht="18" customHeight="1">
      <c r="A18" s="1151" t="s">
        <v>566</v>
      </c>
      <c r="B18" s="1152" t="s">
        <v>34</v>
      </c>
      <c r="C18" s="1152"/>
      <c r="D18" s="1152" t="s">
        <v>581</v>
      </c>
      <c r="E18" s="1153"/>
    </row>
    <row r="19" spans="1:5" ht="18" customHeight="1">
      <c r="A19" s="1151"/>
      <c r="B19" s="84" t="s">
        <v>569</v>
      </c>
      <c r="C19" s="84" t="s">
        <v>570</v>
      </c>
      <c r="D19" s="84" t="s">
        <v>569</v>
      </c>
      <c r="E19" s="85" t="s">
        <v>570</v>
      </c>
    </row>
    <row r="20" spans="1:5">
      <c r="A20" s="116" t="s">
        <v>378</v>
      </c>
      <c r="B20" s="117"/>
      <c r="C20" s="134"/>
      <c r="D20" s="135">
        <v>36.799999999999997</v>
      </c>
      <c r="E20" s="116">
        <v>44.4</v>
      </c>
    </row>
    <row r="21" spans="1:5">
      <c r="A21" s="116" t="s">
        <v>80</v>
      </c>
      <c r="B21" s="118">
        <v>44.646900000000002</v>
      </c>
      <c r="C21" s="136">
        <v>7.4166999999999996</v>
      </c>
      <c r="D21" s="131"/>
      <c r="E21" s="20"/>
    </row>
    <row r="22" spans="1:5">
      <c r="A22" s="116" t="s">
        <v>571</v>
      </c>
      <c r="B22" s="118">
        <v>69.342299999999994</v>
      </c>
      <c r="C22" s="136">
        <v>-4.9000000000000004</v>
      </c>
      <c r="D22" s="131"/>
      <c r="E22" s="20"/>
    </row>
    <row r="23" spans="1:5">
      <c r="A23" s="116" t="s">
        <v>572</v>
      </c>
      <c r="B23" s="118">
        <v>94.251300000000001</v>
      </c>
      <c r="C23" s="136">
        <v>-6</v>
      </c>
      <c r="D23" s="131"/>
      <c r="E23" s="20"/>
    </row>
    <row r="24" spans="1:5">
      <c r="A24" s="116" t="s">
        <v>573</v>
      </c>
      <c r="B24" s="118">
        <v>128.91319999999999</v>
      </c>
      <c r="C24" s="136">
        <v>-4</v>
      </c>
      <c r="D24" s="131"/>
      <c r="E24" s="20"/>
    </row>
    <row r="25" spans="1:5">
      <c r="A25" s="116" t="s">
        <v>574</v>
      </c>
      <c r="B25" s="118">
        <v>165.23060000000001</v>
      </c>
      <c r="C25" s="136">
        <v>0.7</v>
      </c>
      <c r="D25" s="131"/>
      <c r="E25" s="20"/>
    </row>
    <row r="26" spans="1:5">
      <c r="A26" s="116" t="s">
        <v>575</v>
      </c>
      <c r="B26" s="118">
        <v>202.01259999999999</v>
      </c>
      <c r="C26" s="136">
        <v>2.8</v>
      </c>
      <c r="D26" s="131"/>
      <c r="E26" s="20"/>
    </row>
    <row r="27" spans="1:5">
      <c r="A27" s="116" t="s">
        <v>576</v>
      </c>
      <c r="B27" s="118">
        <v>238.41309999999999</v>
      </c>
      <c r="C27" s="136">
        <v>5.9</v>
      </c>
      <c r="D27" s="131"/>
      <c r="E27" s="137"/>
    </row>
    <row r="28" spans="1:5">
      <c r="A28" s="116" t="s">
        <v>577</v>
      </c>
      <c r="B28" s="118">
        <v>270.61200000000002</v>
      </c>
      <c r="C28" s="136">
        <v>8.5</v>
      </c>
      <c r="D28" s="131"/>
      <c r="E28" s="137"/>
    </row>
    <row r="29" spans="1:5">
      <c r="A29" s="116" t="s">
        <v>578</v>
      </c>
      <c r="B29" s="118">
        <v>304.28559999999999</v>
      </c>
      <c r="C29" s="136">
        <v>11.9</v>
      </c>
      <c r="D29" s="131"/>
      <c r="E29" s="137"/>
    </row>
    <row r="30" spans="1:5">
      <c r="A30" s="116" t="s">
        <v>579</v>
      </c>
      <c r="B30" s="118">
        <v>341.42</v>
      </c>
      <c r="C30" s="136">
        <v>12.8</v>
      </c>
      <c r="D30" s="91"/>
      <c r="E30" s="137"/>
    </row>
    <row r="31" spans="1:5">
      <c r="A31" s="125" t="s">
        <v>580</v>
      </c>
      <c r="B31" s="126">
        <v>377.03</v>
      </c>
      <c r="C31" s="138">
        <v>9</v>
      </c>
      <c r="D31" s="139"/>
      <c r="E31" s="125"/>
    </row>
    <row r="32" spans="1:5">
      <c r="A32" t="s">
        <v>583</v>
      </c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1" type="noConversion"/>
  <pageMargins left="0.75" right="0.75" top="1" bottom="1" header="0.50902777777777797" footer="0.50902777777777797"/>
</worksheet>
</file>

<file path=xl/worksheets/sheet48.xml><?xml version="1.0" encoding="utf-8"?>
<worksheet xmlns="http://schemas.openxmlformats.org/spreadsheetml/2006/main" xmlns:r="http://schemas.openxmlformats.org/officeDocument/2006/relationships">
  <sheetPr>
    <tabColor theme="5"/>
  </sheetPr>
  <dimension ref="A1:E32"/>
  <sheetViews>
    <sheetView workbookViewId="0">
      <selection activeCell="J31" sqref="J31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  <col min="7" max="10" width="9.375" customWidth="1"/>
  </cols>
  <sheetData>
    <row r="1" spans="1:5" ht="27" customHeight="1">
      <c r="A1" s="1148" t="s">
        <v>584</v>
      </c>
      <c r="B1" s="1148"/>
      <c r="C1" s="1148"/>
      <c r="D1" s="1148"/>
      <c r="E1" s="1148"/>
    </row>
    <row r="2" spans="1:5">
      <c r="A2" s="83"/>
      <c r="B2" s="83"/>
      <c r="C2" s="83"/>
      <c r="D2" s="83"/>
      <c r="E2" s="83" t="s">
        <v>37</v>
      </c>
    </row>
    <row r="3" spans="1:5" ht="9" customHeight="1">
      <c r="A3" s="83"/>
      <c r="B3" s="83"/>
      <c r="C3" s="83"/>
      <c r="D3" s="83"/>
      <c r="E3" s="83"/>
    </row>
    <row r="4" spans="1:5" ht="18" customHeight="1">
      <c r="A4" s="1151" t="s">
        <v>566</v>
      </c>
      <c r="B4" s="1152" t="s">
        <v>567</v>
      </c>
      <c r="C4" s="1152"/>
      <c r="D4" s="1152" t="s">
        <v>568</v>
      </c>
      <c r="E4" s="1153"/>
    </row>
    <row r="5" spans="1:5" ht="18" customHeight="1">
      <c r="A5" s="1151"/>
      <c r="B5" s="84" t="s">
        <v>569</v>
      </c>
      <c r="C5" s="84" t="s">
        <v>570</v>
      </c>
      <c r="D5" s="84" t="s">
        <v>569</v>
      </c>
      <c r="E5" s="85" t="s">
        <v>570</v>
      </c>
    </row>
    <row r="6" spans="1:5">
      <c r="A6" s="86" t="s">
        <v>378</v>
      </c>
      <c r="B6" s="87"/>
      <c r="C6" s="87"/>
      <c r="D6" s="87"/>
      <c r="E6" s="88"/>
    </row>
    <row r="7" spans="1:5">
      <c r="A7" s="86" t="s">
        <v>80</v>
      </c>
      <c r="B7" s="98">
        <v>14.361800000000001</v>
      </c>
      <c r="C7" s="89">
        <v>13.1</v>
      </c>
      <c r="D7" s="98">
        <v>16.886500000000002</v>
      </c>
      <c r="E7" s="90">
        <v>21.3</v>
      </c>
    </row>
    <row r="8" spans="1:5">
      <c r="A8" s="86" t="s">
        <v>571</v>
      </c>
      <c r="B8" s="98">
        <v>22.281199999999998</v>
      </c>
      <c r="C8" s="89">
        <v>9.6</v>
      </c>
      <c r="D8" s="98">
        <v>24.8142</v>
      </c>
      <c r="E8" s="90">
        <v>15.8</v>
      </c>
    </row>
    <row r="9" spans="1:5">
      <c r="A9" s="86" t="s">
        <v>572</v>
      </c>
      <c r="B9" s="98">
        <v>31.7363</v>
      </c>
      <c r="C9" s="89">
        <v>14</v>
      </c>
      <c r="D9" s="98">
        <v>32.581499999999998</v>
      </c>
      <c r="E9" s="90">
        <v>7.3833355854890899</v>
      </c>
    </row>
    <row r="10" spans="1:5">
      <c r="A10" s="86" t="s">
        <v>573</v>
      </c>
      <c r="B10" s="98">
        <v>41.3127</v>
      </c>
      <c r="C10" s="89">
        <v>8.6999999999999993</v>
      </c>
      <c r="D10" s="98">
        <v>40.163499999999999</v>
      </c>
      <c r="E10" s="90">
        <v>2.1</v>
      </c>
    </row>
    <row r="11" spans="1:5">
      <c r="A11" s="86" t="s">
        <v>574</v>
      </c>
      <c r="B11" s="98">
        <v>56.6175</v>
      </c>
      <c r="C11" s="89">
        <v>5</v>
      </c>
      <c r="D11" s="98">
        <v>58.381900000000002</v>
      </c>
      <c r="E11" s="90">
        <v>6.8</v>
      </c>
    </row>
    <row r="12" spans="1:5">
      <c r="A12" s="86" t="s">
        <v>575</v>
      </c>
      <c r="B12" s="98">
        <v>66.3904</v>
      </c>
      <c r="C12" s="89">
        <v>7.7</v>
      </c>
      <c r="D12" s="98">
        <v>67.249200000000002</v>
      </c>
      <c r="E12" s="90">
        <v>4.4000000000000004</v>
      </c>
    </row>
    <row r="13" spans="1:5">
      <c r="A13" s="86" t="s">
        <v>576</v>
      </c>
      <c r="B13" s="98">
        <v>73.539000000000001</v>
      </c>
      <c r="C13" s="89">
        <v>7.7</v>
      </c>
      <c r="D13" s="98">
        <v>74.591099999999997</v>
      </c>
      <c r="E13" s="90">
        <v>4.2</v>
      </c>
    </row>
    <row r="14" spans="1:5">
      <c r="A14" s="86" t="s">
        <v>577</v>
      </c>
      <c r="B14" s="98">
        <v>81.573599999999999</v>
      </c>
      <c r="C14" s="89">
        <v>7.2</v>
      </c>
      <c r="D14" s="98">
        <v>86.942099999999996</v>
      </c>
      <c r="E14" s="90">
        <v>9.1999999999999993</v>
      </c>
    </row>
    <row r="15" spans="1:5">
      <c r="A15" s="86" t="s">
        <v>578</v>
      </c>
      <c r="B15" s="98">
        <v>89.441400000000002</v>
      </c>
      <c r="C15" s="89">
        <v>7.4</v>
      </c>
      <c r="D15" s="98">
        <v>119.6191</v>
      </c>
      <c r="E15" s="90">
        <v>36.799999999999997</v>
      </c>
    </row>
    <row r="16" spans="1:5">
      <c r="A16" s="86" t="s">
        <v>579</v>
      </c>
      <c r="B16" s="98">
        <v>96.633700000000005</v>
      </c>
      <c r="C16" s="89">
        <v>3.8</v>
      </c>
      <c r="D16" s="98">
        <v>126.08499999999999</v>
      </c>
      <c r="E16" s="90">
        <v>32.4</v>
      </c>
    </row>
    <row r="17" spans="1:5">
      <c r="A17" s="86" t="s">
        <v>580</v>
      </c>
      <c r="B17" s="98">
        <v>112.9713</v>
      </c>
      <c r="C17" s="89">
        <v>-4.8</v>
      </c>
      <c r="D17" s="98">
        <v>134.9958</v>
      </c>
      <c r="E17" s="90">
        <v>21</v>
      </c>
    </row>
    <row r="18" spans="1:5" ht="18" customHeight="1">
      <c r="A18" s="1151" t="s">
        <v>566</v>
      </c>
      <c r="B18" s="1152" t="s">
        <v>34</v>
      </c>
      <c r="C18" s="1152"/>
      <c r="D18" s="1152" t="s">
        <v>581</v>
      </c>
      <c r="E18" s="1153"/>
    </row>
    <row r="19" spans="1:5" ht="18" customHeight="1">
      <c r="A19" s="1151"/>
      <c r="B19" s="84" t="s">
        <v>569</v>
      </c>
      <c r="C19" s="84" t="s">
        <v>570</v>
      </c>
      <c r="D19" s="84" t="s">
        <v>569</v>
      </c>
      <c r="E19" s="85" t="s">
        <v>570</v>
      </c>
    </row>
    <row r="20" spans="1:5">
      <c r="A20" s="116" t="s">
        <v>378</v>
      </c>
      <c r="B20" s="117">
        <v>13.1471</v>
      </c>
      <c r="C20" s="117">
        <v>33.5</v>
      </c>
      <c r="D20" s="118">
        <v>17.38</v>
      </c>
      <c r="E20" s="119">
        <v>32.200000000000003</v>
      </c>
    </row>
    <row r="21" spans="1:5">
      <c r="A21" s="116" t="s">
        <v>80</v>
      </c>
      <c r="B21" s="118">
        <v>22.247900000000001</v>
      </c>
      <c r="C21" s="120">
        <v>31.7</v>
      </c>
      <c r="D21" s="121">
        <v>24.869700000000002</v>
      </c>
      <c r="E21" s="122">
        <v>11.8</v>
      </c>
    </row>
    <row r="22" spans="1:5">
      <c r="A22" s="116" t="s">
        <v>571</v>
      </c>
      <c r="B22" s="118">
        <v>30.257200000000001</v>
      </c>
      <c r="C22" s="120">
        <v>21.9</v>
      </c>
      <c r="D22" s="118"/>
      <c r="E22" s="123"/>
    </row>
    <row r="23" spans="1:5">
      <c r="A23" s="116" t="s">
        <v>572</v>
      </c>
      <c r="B23" s="118">
        <v>40.363399999999999</v>
      </c>
      <c r="C23" s="120">
        <v>23.9</v>
      </c>
      <c r="D23" s="118"/>
      <c r="E23" s="123"/>
    </row>
    <row r="24" spans="1:5">
      <c r="A24" s="116" t="s">
        <v>573</v>
      </c>
      <c r="B24" s="118">
        <v>49.9011</v>
      </c>
      <c r="C24" s="120">
        <v>24.244898975437899</v>
      </c>
      <c r="D24" s="118"/>
      <c r="E24" s="123"/>
    </row>
    <row r="25" spans="1:5">
      <c r="A25" s="116" t="s">
        <v>574</v>
      </c>
      <c r="B25" s="118">
        <v>64.792299999999997</v>
      </c>
      <c r="C25" s="120">
        <v>11</v>
      </c>
      <c r="D25" s="118"/>
      <c r="E25" s="123"/>
    </row>
    <row r="26" spans="1:5">
      <c r="A26" s="116" t="s">
        <v>575</v>
      </c>
      <c r="B26" s="118">
        <v>75.1173</v>
      </c>
      <c r="C26" s="120">
        <v>11.7</v>
      </c>
      <c r="D26" s="118"/>
      <c r="E26" s="123"/>
    </row>
    <row r="27" spans="1:5">
      <c r="A27" s="116" t="s">
        <v>576</v>
      </c>
      <c r="B27" s="118">
        <v>83.683400000000006</v>
      </c>
      <c r="C27" s="120">
        <v>12.2</v>
      </c>
      <c r="D27" s="118"/>
      <c r="E27" s="123"/>
    </row>
    <row r="28" spans="1:5">
      <c r="A28" s="116" t="s">
        <v>577</v>
      </c>
      <c r="B28" s="118">
        <v>92.194999999999993</v>
      </c>
      <c r="C28" s="120">
        <v>12.7</v>
      </c>
      <c r="D28" s="118"/>
      <c r="E28" s="124"/>
    </row>
    <row r="29" spans="1:5">
      <c r="A29" s="116" t="s">
        <v>578</v>
      </c>
      <c r="B29" s="118">
        <v>100.4627</v>
      </c>
      <c r="C29" s="120">
        <v>11.4</v>
      </c>
      <c r="D29" s="118"/>
      <c r="E29" s="124"/>
    </row>
    <row r="30" spans="1:5">
      <c r="A30" s="116" t="s">
        <v>579</v>
      </c>
      <c r="B30" s="118">
        <v>107.827</v>
      </c>
      <c r="C30" s="120">
        <v>11.6</v>
      </c>
      <c r="D30" s="118"/>
      <c r="E30" s="124"/>
    </row>
    <row r="31" spans="1:5">
      <c r="A31" s="125" t="s">
        <v>580</v>
      </c>
      <c r="B31" s="126">
        <v>121.83</v>
      </c>
      <c r="C31" s="127">
        <v>15.4</v>
      </c>
      <c r="D31" s="128"/>
      <c r="E31" s="129"/>
    </row>
    <row r="32" spans="1:5">
      <c r="A32" t="s">
        <v>585</v>
      </c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1" type="noConversion"/>
  <pageMargins left="0.75" right="0.75" top="1" bottom="1" header="0.50902777777777797" footer="0.50902777777777797"/>
</worksheet>
</file>

<file path=xl/worksheets/sheet49.xml><?xml version="1.0" encoding="utf-8"?>
<worksheet xmlns="http://schemas.openxmlformats.org/spreadsheetml/2006/main" xmlns:r="http://schemas.openxmlformats.org/officeDocument/2006/relationships">
  <sheetPr>
    <tabColor theme="5"/>
  </sheetPr>
  <dimension ref="A1:E31"/>
  <sheetViews>
    <sheetView workbookViewId="0">
      <selection activeCell="H27" sqref="H27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1148" t="s">
        <v>27</v>
      </c>
      <c r="B1" s="1148"/>
      <c r="C1" s="1148"/>
      <c r="D1" s="1148"/>
      <c r="E1" s="1148"/>
    </row>
    <row r="2" spans="1:5">
      <c r="D2" s="1155" t="s">
        <v>433</v>
      </c>
      <c r="E2" s="1146"/>
    </row>
    <row r="3" spans="1:5" ht="9" customHeight="1"/>
    <row r="4" spans="1:5" ht="18" customHeight="1">
      <c r="A4" s="1151" t="s">
        <v>566</v>
      </c>
      <c r="B4" s="1152" t="s">
        <v>567</v>
      </c>
      <c r="C4" s="1152"/>
      <c r="D4" s="1152" t="s">
        <v>568</v>
      </c>
      <c r="E4" s="1153"/>
    </row>
    <row r="5" spans="1:5" ht="23.1" customHeight="1">
      <c r="A5" s="1151"/>
      <c r="B5" s="84" t="s">
        <v>569</v>
      </c>
      <c r="C5" s="103" t="s">
        <v>586</v>
      </c>
      <c r="D5" s="84" t="s">
        <v>587</v>
      </c>
      <c r="E5" s="104" t="s">
        <v>586</v>
      </c>
    </row>
    <row r="6" spans="1:5">
      <c r="A6" s="86" t="s">
        <v>378</v>
      </c>
      <c r="B6" s="87"/>
      <c r="C6" s="87"/>
      <c r="D6" s="87"/>
      <c r="E6" s="105"/>
    </row>
    <row r="7" spans="1:5">
      <c r="A7" s="86" t="s">
        <v>80</v>
      </c>
      <c r="B7" s="55">
        <v>103</v>
      </c>
      <c r="C7" s="97">
        <v>3</v>
      </c>
      <c r="D7" s="13">
        <v>101.1</v>
      </c>
      <c r="E7" s="90">
        <v>1.1000000000000001</v>
      </c>
    </row>
    <row r="8" spans="1:5">
      <c r="A8" s="86" t="s">
        <v>571</v>
      </c>
      <c r="B8" s="55">
        <v>102.8</v>
      </c>
      <c r="C8" s="97">
        <v>2.8</v>
      </c>
      <c r="D8" s="13">
        <v>101</v>
      </c>
      <c r="E8" s="90">
        <v>1</v>
      </c>
    </row>
    <row r="9" spans="1:5">
      <c r="A9" s="86" t="s">
        <v>572</v>
      </c>
      <c r="B9" s="55">
        <v>102.9</v>
      </c>
      <c r="C9" s="97">
        <v>2.9</v>
      </c>
      <c r="D9" s="13">
        <v>101</v>
      </c>
      <c r="E9" s="90">
        <v>1</v>
      </c>
    </row>
    <row r="10" spans="1:5">
      <c r="A10" s="86" t="s">
        <v>573</v>
      </c>
      <c r="B10" s="55">
        <v>102.8</v>
      </c>
      <c r="C10" s="97">
        <v>2.8</v>
      </c>
      <c r="D10" s="13">
        <v>101.1</v>
      </c>
      <c r="E10" s="90">
        <v>1.1000000000000001</v>
      </c>
    </row>
    <row r="11" spans="1:5">
      <c r="A11" s="86" t="s">
        <v>574</v>
      </c>
      <c r="B11" s="10">
        <v>102.7</v>
      </c>
      <c r="C11" s="97">
        <v>2.7</v>
      </c>
      <c r="D11" s="13">
        <v>101.1</v>
      </c>
      <c r="E11" s="90">
        <v>1.1000000000000001</v>
      </c>
    </row>
    <row r="12" spans="1:5">
      <c r="A12" s="86" t="s">
        <v>575</v>
      </c>
      <c r="B12" s="106">
        <v>102.6</v>
      </c>
      <c r="C12" s="97">
        <v>2.6</v>
      </c>
      <c r="D12" s="13">
        <v>101.2</v>
      </c>
      <c r="E12" s="90">
        <v>1.2</v>
      </c>
    </row>
    <row r="13" spans="1:5">
      <c r="A13" s="86" t="s">
        <v>576</v>
      </c>
      <c r="B13" s="107">
        <v>102.5</v>
      </c>
      <c r="C13" s="97">
        <v>2.5</v>
      </c>
      <c r="D13" s="13">
        <v>101.3</v>
      </c>
      <c r="E13" s="90">
        <v>1.3</v>
      </c>
    </row>
    <row r="14" spans="1:5">
      <c r="A14" s="86" t="s">
        <v>577</v>
      </c>
      <c r="B14" s="108">
        <v>102.4</v>
      </c>
      <c r="C14" s="97">
        <v>2.4000000000000101</v>
      </c>
      <c r="D14" s="13">
        <v>101.2</v>
      </c>
      <c r="E14" s="90">
        <v>1.2</v>
      </c>
    </row>
    <row r="15" spans="1:5">
      <c r="A15" s="86" t="s">
        <v>578</v>
      </c>
      <c r="B15" s="107">
        <v>102.3</v>
      </c>
      <c r="C15" s="97">
        <v>2.2999999999999998</v>
      </c>
      <c r="D15" s="13">
        <v>101.3</v>
      </c>
      <c r="E15" s="90">
        <v>1.3</v>
      </c>
    </row>
    <row r="16" spans="1:5">
      <c r="A16" s="86" t="s">
        <v>579</v>
      </c>
      <c r="B16" s="109">
        <v>102.3</v>
      </c>
      <c r="C16" s="97">
        <v>2.2999999999999998</v>
      </c>
      <c r="D16" s="13">
        <v>101.3</v>
      </c>
      <c r="E16" s="90">
        <v>1.3</v>
      </c>
    </row>
    <row r="17" spans="1:5">
      <c r="A17" s="86" t="s">
        <v>580</v>
      </c>
      <c r="B17" s="13">
        <v>102.2</v>
      </c>
      <c r="C17" s="97">
        <v>2.2000000000000002</v>
      </c>
      <c r="D17" s="13">
        <v>101.3</v>
      </c>
      <c r="E17" s="90">
        <v>1.3</v>
      </c>
    </row>
    <row r="18" spans="1:5" ht="18" customHeight="1">
      <c r="A18" s="1151" t="s">
        <v>566</v>
      </c>
      <c r="B18" s="1152" t="s">
        <v>34</v>
      </c>
      <c r="C18" s="1152"/>
      <c r="D18" s="1152" t="s">
        <v>581</v>
      </c>
      <c r="E18" s="1153"/>
    </row>
    <row r="19" spans="1:5" ht="24" customHeight="1">
      <c r="A19" s="1151"/>
      <c r="B19" s="84" t="s">
        <v>587</v>
      </c>
      <c r="C19" s="103" t="s">
        <v>586</v>
      </c>
      <c r="D19" s="84" t="s">
        <v>587</v>
      </c>
      <c r="E19" s="104" t="s">
        <v>586</v>
      </c>
    </row>
    <row r="20" spans="1:5">
      <c r="A20" s="86" t="s">
        <v>378</v>
      </c>
      <c r="B20" s="87"/>
      <c r="C20" s="87"/>
      <c r="D20" s="19">
        <v>101.9</v>
      </c>
      <c r="E20" s="105">
        <v>1.9</v>
      </c>
    </row>
    <row r="21" spans="1:5">
      <c r="A21" s="86" t="s">
        <v>80</v>
      </c>
      <c r="B21" s="110">
        <v>101.5</v>
      </c>
      <c r="C21" s="89">
        <v>1.5</v>
      </c>
      <c r="D21" s="111">
        <v>101.6</v>
      </c>
      <c r="E21" s="112">
        <v>1.6</v>
      </c>
    </row>
    <row r="22" spans="1:5">
      <c r="A22" s="86" t="s">
        <v>571</v>
      </c>
      <c r="B22" s="110">
        <v>101.6</v>
      </c>
      <c r="C22" s="89">
        <v>1.5999999999999901</v>
      </c>
      <c r="D22" s="19"/>
      <c r="E22" s="105"/>
    </row>
    <row r="23" spans="1:5">
      <c r="A23" s="86" t="s">
        <v>572</v>
      </c>
      <c r="B23" s="110">
        <v>101.5</v>
      </c>
      <c r="C23" s="89">
        <v>1.5</v>
      </c>
      <c r="D23" s="19"/>
      <c r="E23" s="105"/>
    </row>
    <row r="24" spans="1:5">
      <c r="A24" s="86" t="s">
        <v>573</v>
      </c>
      <c r="B24" s="110">
        <v>101.3</v>
      </c>
      <c r="C24" s="89">
        <v>1.3</v>
      </c>
      <c r="D24" s="19"/>
      <c r="E24" s="105"/>
    </row>
    <row r="25" spans="1:5">
      <c r="A25" s="86" t="s">
        <v>574</v>
      </c>
      <c r="B25" s="110">
        <v>101.3</v>
      </c>
      <c r="C25" s="89">
        <v>1.3</v>
      </c>
      <c r="D25" s="89"/>
      <c r="E25" s="105"/>
    </row>
    <row r="26" spans="1:5">
      <c r="A26" s="86" t="s">
        <v>575</v>
      </c>
      <c r="B26" s="19">
        <v>101.2</v>
      </c>
      <c r="C26" s="89">
        <v>1.2</v>
      </c>
      <c r="D26" s="89"/>
      <c r="E26" s="105"/>
    </row>
    <row r="27" spans="1:5">
      <c r="A27" s="86" t="s">
        <v>576</v>
      </c>
      <c r="B27" s="110">
        <v>101.3</v>
      </c>
      <c r="C27" s="89">
        <v>1.3</v>
      </c>
      <c r="D27" s="89"/>
      <c r="E27" s="105"/>
    </row>
    <row r="28" spans="1:5">
      <c r="A28" s="86" t="s">
        <v>577</v>
      </c>
      <c r="B28" s="19">
        <v>101.4</v>
      </c>
      <c r="C28" s="89">
        <v>1.4</v>
      </c>
      <c r="D28" s="97"/>
      <c r="E28" s="105"/>
    </row>
    <row r="29" spans="1:5">
      <c r="A29" s="86" t="s">
        <v>578</v>
      </c>
      <c r="B29" s="110">
        <v>101.5</v>
      </c>
      <c r="C29" s="89">
        <v>1.5</v>
      </c>
      <c r="D29" s="97"/>
      <c r="E29" s="105"/>
    </row>
    <row r="30" spans="1:5">
      <c r="A30" s="86" t="s">
        <v>579</v>
      </c>
      <c r="B30" s="110">
        <v>101.5</v>
      </c>
      <c r="C30" s="89">
        <v>1.5</v>
      </c>
      <c r="D30" s="97"/>
      <c r="E30" s="105"/>
    </row>
    <row r="31" spans="1:5">
      <c r="A31" s="99" t="s">
        <v>580</v>
      </c>
      <c r="B31" s="113">
        <v>101.6</v>
      </c>
      <c r="C31" s="114">
        <v>1.6</v>
      </c>
      <c r="D31" s="101"/>
      <c r="E31" s="115"/>
    </row>
  </sheetData>
  <sheetProtection password="DC9E" sheet="1" objects="1" scenarios="1"/>
  <mergeCells count="8">
    <mergeCell ref="A1:E1"/>
    <mergeCell ref="D2:E2"/>
    <mergeCell ref="B4:C4"/>
    <mergeCell ref="D4:E4"/>
    <mergeCell ref="B18:C18"/>
    <mergeCell ref="D18:E18"/>
    <mergeCell ref="A4:A5"/>
    <mergeCell ref="A18:A19"/>
  </mergeCells>
  <phoneticPr fontId="11" type="noConversion"/>
  <pageMargins left="0.75" right="0.75" top="1" bottom="1" header="0.50902777777777797" footer="0.50902777777777797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/>
  </sheetPr>
  <dimension ref="A1:H24"/>
  <sheetViews>
    <sheetView zoomScale="80" zoomScaleNormal="80" workbookViewId="0">
      <selection activeCell="E31" sqref="E31"/>
    </sheetView>
  </sheetViews>
  <sheetFormatPr defaultColWidth="9" defaultRowHeight="14.25"/>
  <cols>
    <col min="1" max="1" width="33.125" style="955" customWidth="1"/>
    <col min="2" max="2" width="12" style="955" customWidth="1"/>
    <col min="3" max="3" width="16.375" style="955" customWidth="1"/>
    <col min="4" max="4" width="15.75" style="955" customWidth="1"/>
    <col min="5" max="5" width="9" style="955"/>
    <col min="6" max="8" width="9" style="955" hidden="1" customWidth="1"/>
    <col min="9" max="16384" width="9" style="955"/>
  </cols>
  <sheetData>
    <row r="1" spans="1:8" ht="24.95" customHeight="1">
      <c r="A1" s="1063" t="s">
        <v>57</v>
      </c>
      <c r="B1" s="1063"/>
      <c r="C1" s="1063"/>
      <c r="D1" s="1063"/>
    </row>
    <row r="2" spans="1:8" ht="16.5" customHeight="1">
      <c r="A2" s="38"/>
      <c r="B2" s="38"/>
      <c r="C2" s="38"/>
      <c r="D2" s="956"/>
      <c r="F2" s="1064" t="s">
        <v>58</v>
      </c>
      <c r="G2" s="1064"/>
    </row>
    <row r="3" spans="1:8" ht="35.25" customHeight="1">
      <c r="A3" s="957" t="s">
        <v>38</v>
      </c>
      <c r="B3" s="958" t="s">
        <v>2</v>
      </c>
      <c r="C3" s="959" t="s">
        <v>34</v>
      </c>
      <c r="D3" s="960" t="s">
        <v>5</v>
      </c>
    </row>
    <row r="4" spans="1:8" ht="26.1" customHeight="1">
      <c r="A4" s="961" t="s">
        <v>59</v>
      </c>
      <c r="B4" s="962" t="s">
        <v>7</v>
      </c>
      <c r="C4" s="199">
        <v>854.58021799999995</v>
      </c>
      <c r="D4" s="963">
        <v>4.8199999999999896</v>
      </c>
      <c r="F4" s="964"/>
      <c r="G4" s="964"/>
    </row>
    <row r="5" spans="1:8" ht="26.1" customHeight="1">
      <c r="A5" s="961" t="s">
        <v>60</v>
      </c>
      <c r="B5" s="962" t="s">
        <v>7</v>
      </c>
      <c r="C5" s="199">
        <v>458.97171600000001</v>
      </c>
      <c r="D5" s="963">
        <v>4.42</v>
      </c>
      <c r="F5" s="964"/>
      <c r="G5" s="964"/>
    </row>
    <row r="6" spans="1:8" ht="26.1" customHeight="1">
      <c r="A6" s="961" t="s">
        <v>61</v>
      </c>
      <c r="B6" s="962" t="s">
        <v>7</v>
      </c>
      <c r="C6" s="199">
        <v>25.660063999999998</v>
      </c>
      <c r="D6" s="963">
        <v>6.62</v>
      </c>
      <c r="F6" s="964"/>
      <c r="G6" s="964"/>
    </row>
    <row r="7" spans="1:8" ht="26.1" customHeight="1">
      <c r="A7" s="961" t="s">
        <v>62</v>
      </c>
      <c r="B7" s="962" t="s">
        <v>7</v>
      </c>
      <c r="C7" s="199">
        <v>118.08995899999999</v>
      </c>
      <c r="D7" s="963">
        <v>2.91</v>
      </c>
      <c r="F7" s="964"/>
      <c r="G7" s="964"/>
    </row>
    <row r="8" spans="1:8" ht="26.1" customHeight="1">
      <c r="A8" s="961" t="s">
        <v>63</v>
      </c>
      <c r="B8" s="962" t="s">
        <v>7</v>
      </c>
      <c r="C8" s="199">
        <v>220.98527899999999</v>
      </c>
      <c r="D8" s="963">
        <v>5.95</v>
      </c>
      <c r="F8" s="964"/>
      <c r="G8" s="964"/>
    </row>
    <row r="9" spans="1:8" ht="26.1" customHeight="1">
      <c r="A9" s="961" t="s">
        <v>64</v>
      </c>
      <c r="B9" s="962" t="s">
        <v>7</v>
      </c>
      <c r="C9" s="199">
        <v>30.873200000000001</v>
      </c>
      <c r="D9" s="963">
        <v>9.2099999999999902</v>
      </c>
      <c r="F9" s="964"/>
      <c r="G9" s="964"/>
    </row>
    <row r="10" spans="1:8" ht="26.1" customHeight="1">
      <c r="A10" s="965" t="s">
        <v>65</v>
      </c>
      <c r="B10" s="962" t="s">
        <v>7</v>
      </c>
      <c r="C10" s="199">
        <v>546.35922500000004</v>
      </c>
      <c r="D10" s="963">
        <v>4.83</v>
      </c>
      <c r="F10" s="964" t="s">
        <v>66</v>
      </c>
      <c r="G10" s="964"/>
    </row>
    <row r="11" spans="1:8" ht="26.1" customHeight="1">
      <c r="A11" s="961" t="s">
        <v>60</v>
      </c>
      <c r="B11" s="962" t="s">
        <v>7</v>
      </c>
      <c r="C11" s="199">
        <v>313.78771999999998</v>
      </c>
      <c r="D11" s="963">
        <v>4.42</v>
      </c>
      <c r="F11" s="964"/>
      <c r="G11" s="964"/>
      <c r="H11" s="966"/>
    </row>
    <row r="12" spans="1:8" ht="26.1" customHeight="1">
      <c r="A12" s="961" t="s">
        <v>61</v>
      </c>
      <c r="B12" s="962" t="s">
        <v>7</v>
      </c>
      <c r="C12" s="199">
        <v>19.066443</v>
      </c>
      <c r="D12" s="963">
        <v>6.62</v>
      </c>
      <c r="F12" s="964"/>
      <c r="G12" s="964"/>
    </row>
    <row r="13" spans="1:8" ht="26.1" customHeight="1">
      <c r="A13" s="961" t="s">
        <v>62</v>
      </c>
      <c r="B13" s="962" t="s">
        <v>7</v>
      </c>
      <c r="C13" s="199">
        <v>57.120153999999999</v>
      </c>
      <c r="D13" s="963">
        <v>2.91</v>
      </c>
      <c r="F13" s="964"/>
      <c r="G13" s="964"/>
    </row>
    <row r="14" spans="1:8" ht="26.1" customHeight="1">
      <c r="A14" s="961" t="s">
        <v>63</v>
      </c>
      <c r="B14" s="962" t="s">
        <v>7</v>
      </c>
      <c r="C14" s="199">
        <v>143.640366</v>
      </c>
      <c r="D14" s="963">
        <v>5.95</v>
      </c>
      <c r="F14" s="964"/>
      <c r="G14" s="964"/>
    </row>
    <row r="15" spans="1:8" ht="26.1" customHeight="1">
      <c r="A15" s="961" t="s">
        <v>64</v>
      </c>
      <c r="B15" s="962" t="s">
        <v>7</v>
      </c>
      <c r="C15" s="199">
        <v>12.744543</v>
      </c>
      <c r="D15" s="963">
        <v>9.2099999999999902</v>
      </c>
      <c r="F15" s="964"/>
      <c r="G15" s="964"/>
    </row>
    <row r="16" spans="1:8" ht="26.1" customHeight="1">
      <c r="A16" s="961" t="s">
        <v>67</v>
      </c>
      <c r="B16" s="961"/>
      <c r="C16" s="199"/>
      <c r="D16" s="963"/>
    </row>
    <row r="17" spans="1:4" ht="26.1" customHeight="1">
      <c r="A17" s="961" t="s">
        <v>68</v>
      </c>
      <c r="B17" s="962" t="s">
        <v>69</v>
      </c>
      <c r="C17" s="967">
        <v>138.23689999999999</v>
      </c>
      <c r="D17" s="963">
        <v>-2.25</v>
      </c>
    </row>
    <row r="18" spans="1:4" ht="26.1" customHeight="1">
      <c r="A18" s="961" t="s">
        <v>70</v>
      </c>
      <c r="B18" s="962" t="s">
        <v>69</v>
      </c>
      <c r="C18" s="967">
        <v>117.09439999999999</v>
      </c>
      <c r="D18" s="963">
        <v>-1.1800000000000099</v>
      </c>
    </row>
    <row r="19" spans="1:4" ht="26.1" customHeight="1">
      <c r="A19" s="961" t="s">
        <v>71</v>
      </c>
      <c r="B19" s="962" t="s">
        <v>69</v>
      </c>
      <c r="C19" s="968">
        <v>373.15269999999998</v>
      </c>
      <c r="D19" s="963">
        <v>5.8268887119841999</v>
      </c>
    </row>
    <row r="20" spans="1:4" ht="26.1" customHeight="1">
      <c r="A20" s="961" t="s">
        <v>72</v>
      </c>
      <c r="B20" s="962" t="s">
        <v>69</v>
      </c>
      <c r="C20" s="968">
        <v>265.31</v>
      </c>
      <c r="D20" s="963">
        <v>8.0789757448633797</v>
      </c>
    </row>
    <row r="21" spans="1:4" ht="26.1" customHeight="1">
      <c r="A21" s="961" t="s">
        <v>73</v>
      </c>
      <c r="B21" s="962" t="s">
        <v>74</v>
      </c>
      <c r="C21" s="968">
        <v>409.49160000000001</v>
      </c>
      <c r="D21" s="963">
        <v>3.83</v>
      </c>
    </row>
    <row r="22" spans="1:4" ht="26.1" customHeight="1">
      <c r="A22" s="961" t="s">
        <v>75</v>
      </c>
      <c r="B22" s="962" t="s">
        <v>76</v>
      </c>
      <c r="C22" s="968">
        <v>8542.4609</v>
      </c>
      <c r="D22" s="963">
        <v>0.5</v>
      </c>
    </row>
    <row r="23" spans="1:4" ht="26.1" customHeight="1">
      <c r="A23" s="969" t="s">
        <v>77</v>
      </c>
      <c r="B23" s="970" t="s">
        <v>69</v>
      </c>
      <c r="C23" s="971">
        <v>128.21520000000001</v>
      </c>
      <c r="D23" s="972">
        <v>4.94853056734246</v>
      </c>
    </row>
    <row r="24" spans="1:4" ht="35.1" customHeight="1">
      <c r="A24" s="1065" t="s">
        <v>78</v>
      </c>
      <c r="B24" s="1065"/>
      <c r="C24" s="1065"/>
      <c r="D24" s="1065"/>
    </row>
  </sheetData>
  <sheetProtection password="DC9E" sheet="1" objects="1" scenarios="1"/>
  <mergeCells count="3">
    <mergeCell ref="A1:D1"/>
    <mergeCell ref="F2:G2"/>
    <mergeCell ref="A24:D24"/>
  </mergeCells>
  <phoneticPr fontId="11" type="noConversion"/>
  <printOptions horizontalCentered="1"/>
  <pageMargins left="0.75" right="0.75" top="0.97916666666666696" bottom="0.97916666666666696" header="0.50902777777777797" footer="0.50902777777777797"/>
  <pageSetup paperSize="9" orientation="portrait"/>
  <headerFooter scaleWithDoc="0" alignWithMargins="0"/>
</worksheet>
</file>

<file path=xl/worksheets/sheet50.xml><?xml version="1.0" encoding="utf-8"?>
<worksheet xmlns="http://schemas.openxmlformats.org/spreadsheetml/2006/main" xmlns:r="http://schemas.openxmlformats.org/officeDocument/2006/relationships">
  <sheetPr>
    <tabColor theme="5"/>
  </sheetPr>
  <dimension ref="A1:G31"/>
  <sheetViews>
    <sheetView tabSelected="1" topLeftCell="A4" workbookViewId="0">
      <selection activeCell="F26" sqref="F26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  <col min="7" max="7" width="11.5" customWidth="1"/>
  </cols>
  <sheetData>
    <row r="1" spans="1:5" ht="27" customHeight="1">
      <c r="A1" s="1148" t="s">
        <v>588</v>
      </c>
      <c r="B1" s="1148"/>
      <c r="C1" s="1148"/>
      <c r="D1" s="1148"/>
      <c r="E1" s="1148"/>
    </row>
    <row r="2" spans="1:5">
      <c r="D2" s="1155" t="s">
        <v>589</v>
      </c>
      <c r="E2" s="1146"/>
    </row>
    <row r="3" spans="1:5" ht="9" customHeight="1"/>
    <row r="4" spans="1:5" ht="18" customHeight="1">
      <c r="A4" s="1151" t="s">
        <v>566</v>
      </c>
      <c r="B4" s="1152" t="s">
        <v>567</v>
      </c>
      <c r="C4" s="1152"/>
      <c r="D4" s="1152" t="s">
        <v>568</v>
      </c>
      <c r="E4" s="1153"/>
    </row>
    <row r="5" spans="1:5" ht="18" customHeight="1">
      <c r="A5" s="1151"/>
      <c r="B5" s="84" t="s">
        <v>569</v>
      </c>
      <c r="C5" s="84" t="s">
        <v>570</v>
      </c>
      <c r="D5" s="84" t="s">
        <v>569</v>
      </c>
      <c r="E5" s="85" t="s">
        <v>570</v>
      </c>
    </row>
    <row r="6" spans="1:5">
      <c r="A6" s="86" t="s">
        <v>378</v>
      </c>
      <c r="B6" s="87"/>
      <c r="C6" s="87"/>
      <c r="D6" s="87"/>
      <c r="E6" s="88"/>
    </row>
    <row r="7" spans="1:5">
      <c r="A7" s="86" t="s">
        <v>80</v>
      </c>
      <c r="B7" s="89">
        <v>10.66</v>
      </c>
      <c r="C7" s="90">
        <v>9.4</v>
      </c>
      <c r="D7" s="89">
        <v>19.95</v>
      </c>
      <c r="E7" s="90">
        <v>49.7</v>
      </c>
    </row>
    <row r="8" spans="1:5">
      <c r="A8" s="86" t="s">
        <v>571</v>
      </c>
      <c r="B8" s="89">
        <v>15.01</v>
      </c>
      <c r="C8" s="90">
        <v>7.1</v>
      </c>
      <c r="D8" s="89">
        <v>25.02</v>
      </c>
      <c r="E8" s="90">
        <v>66.7</v>
      </c>
    </row>
    <row r="9" spans="1:5">
      <c r="A9" s="86" t="s">
        <v>572</v>
      </c>
      <c r="B9" s="89">
        <v>20.3</v>
      </c>
      <c r="C9" s="90">
        <v>7.2</v>
      </c>
      <c r="D9" s="89">
        <v>34.86</v>
      </c>
      <c r="E9" s="90">
        <v>55.8</v>
      </c>
    </row>
    <row r="10" spans="1:5">
      <c r="A10" s="86" t="s">
        <v>573</v>
      </c>
      <c r="B10" s="89">
        <v>30.03</v>
      </c>
      <c r="C10" s="90">
        <v>22.4</v>
      </c>
      <c r="D10" s="89">
        <v>44.18</v>
      </c>
      <c r="E10" s="90">
        <v>47.1</v>
      </c>
    </row>
    <row r="11" spans="1:5">
      <c r="A11" s="86" t="s">
        <v>574</v>
      </c>
      <c r="B11" s="89">
        <v>38.78</v>
      </c>
      <c r="C11" s="90">
        <v>31.4</v>
      </c>
      <c r="D11" s="89">
        <v>54.94</v>
      </c>
      <c r="E11" s="90">
        <v>41.7</v>
      </c>
    </row>
    <row r="12" spans="1:5">
      <c r="A12" s="86" t="s">
        <v>575</v>
      </c>
      <c r="B12" s="89">
        <v>49.38</v>
      </c>
      <c r="C12" s="90">
        <v>44.3</v>
      </c>
      <c r="D12" s="89">
        <v>64.67</v>
      </c>
      <c r="E12" s="90">
        <v>35.799999999999997</v>
      </c>
    </row>
    <row r="13" spans="1:5">
      <c r="A13" s="86" t="s">
        <v>576</v>
      </c>
      <c r="B13" s="89">
        <v>56</v>
      </c>
      <c r="C13" s="90">
        <v>41.9</v>
      </c>
      <c r="D13" s="89">
        <v>75.459999999999994</v>
      </c>
      <c r="E13" s="90">
        <v>34.799999999999997</v>
      </c>
    </row>
    <row r="14" spans="1:5">
      <c r="A14" s="86" t="s">
        <v>577</v>
      </c>
      <c r="B14" s="89">
        <v>64.099999999999994</v>
      </c>
      <c r="C14" s="90">
        <v>44.1</v>
      </c>
      <c r="D14" s="89">
        <v>85.67</v>
      </c>
      <c r="E14" s="90">
        <v>33.700000000000003</v>
      </c>
    </row>
    <row r="15" spans="1:5">
      <c r="A15" s="86" t="s">
        <v>578</v>
      </c>
      <c r="B15" s="89">
        <v>72.319999999999993</v>
      </c>
      <c r="C15" s="90">
        <v>47.3</v>
      </c>
      <c r="D15" s="89">
        <v>93.88</v>
      </c>
      <c r="E15" s="90">
        <v>29.8</v>
      </c>
    </row>
    <row r="16" spans="1:5">
      <c r="A16" s="86" t="s">
        <v>579</v>
      </c>
      <c r="B16" s="89">
        <v>80.75</v>
      </c>
      <c r="C16" s="90">
        <v>52</v>
      </c>
      <c r="D16" s="89">
        <v>102.83</v>
      </c>
      <c r="E16" s="90">
        <v>27.4</v>
      </c>
    </row>
    <row r="17" spans="1:7">
      <c r="A17" s="86" t="s">
        <v>580</v>
      </c>
      <c r="B17" s="89">
        <v>89.4</v>
      </c>
      <c r="C17" s="90">
        <v>52.9</v>
      </c>
      <c r="D17" s="89">
        <v>112.45</v>
      </c>
      <c r="E17" s="90">
        <v>25.8</v>
      </c>
    </row>
    <row r="18" spans="1:7" ht="18" customHeight="1">
      <c r="A18" s="1151" t="s">
        <v>566</v>
      </c>
      <c r="B18" s="1152" t="s">
        <v>34</v>
      </c>
      <c r="C18" s="1152"/>
      <c r="D18" s="1152" t="s">
        <v>581</v>
      </c>
      <c r="E18" s="1153"/>
    </row>
    <row r="19" spans="1:7" ht="18" customHeight="1">
      <c r="A19" s="1151"/>
      <c r="B19" s="84" t="s">
        <v>569</v>
      </c>
      <c r="C19" s="84" t="s">
        <v>570</v>
      </c>
      <c r="D19" s="84" t="s">
        <v>569</v>
      </c>
      <c r="E19" s="85" t="s">
        <v>570</v>
      </c>
    </row>
    <row r="20" spans="1:7">
      <c r="A20" s="86" t="s">
        <v>378</v>
      </c>
      <c r="B20" s="87"/>
      <c r="C20" s="87"/>
      <c r="D20" s="91">
        <v>9.5556000000000001</v>
      </c>
      <c r="E20" s="90">
        <v>4.79</v>
      </c>
    </row>
    <row r="21" spans="1:7">
      <c r="A21" s="86" t="s">
        <v>80</v>
      </c>
      <c r="B21" s="15">
        <v>17.27</v>
      </c>
      <c r="C21" s="92">
        <v>6.3</v>
      </c>
      <c r="D21" s="93">
        <v>17.8917</v>
      </c>
      <c r="E21" s="94">
        <v>6</v>
      </c>
    </row>
    <row r="22" spans="1:7">
      <c r="A22" s="86" t="s">
        <v>571</v>
      </c>
      <c r="B22" s="15">
        <v>26.96</v>
      </c>
      <c r="C22" s="20">
        <v>6.1</v>
      </c>
      <c r="D22" s="40"/>
      <c r="E22" s="20"/>
    </row>
    <row r="23" spans="1:7">
      <c r="A23" s="86" t="s">
        <v>572</v>
      </c>
      <c r="B23" s="15">
        <v>37.450000000000003</v>
      </c>
      <c r="C23" s="20">
        <v>5.9</v>
      </c>
      <c r="D23" s="40"/>
      <c r="E23" s="20"/>
    </row>
    <row r="24" spans="1:7">
      <c r="A24" s="86" t="s">
        <v>573</v>
      </c>
      <c r="B24" s="15">
        <v>48.08</v>
      </c>
      <c r="C24" s="20">
        <v>9.1</v>
      </c>
      <c r="D24" s="40"/>
      <c r="E24" s="20"/>
    </row>
    <row r="25" spans="1:7">
      <c r="A25" s="86" t="s">
        <v>574</v>
      </c>
      <c r="B25" s="15">
        <v>58.99</v>
      </c>
      <c r="C25" s="20">
        <v>8.9</v>
      </c>
      <c r="D25" s="40"/>
      <c r="E25" s="20"/>
    </row>
    <row r="26" spans="1:7">
      <c r="A26" s="86" t="s">
        <v>575</v>
      </c>
      <c r="B26" s="95">
        <v>69.33</v>
      </c>
      <c r="C26" s="96">
        <v>8</v>
      </c>
      <c r="D26" s="97"/>
      <c r="E26" s="20"/>
    </row>
    <row r="27" spans="1:7">
      <c r="A27" s="86" t="s">
        <v>576</v>
      </c>
      <c r="B27" s="40">
        <v>79.650000000000006</v>
      </c>
      <c r="C27" s="20">
        <v>6.9</v>
      </c>
      <c r="D27" s="97"/>
      <c r="E27" s="20"/>
    </row>
    <row r="28" spans="1:7">
      <c r="A28" s="86" t="s">
        <v>577</v>
      </c>
      <c r="B28" s="40">
        <v>89.42</v>
      </c>
      <c r="C28" s="96">
        <v>5.6</v>
      </c>
      <c r="D28" s="97"/>
      <c r="E28" s="90"/>
    </row>
    <row r="29" spans="1:7">
      <c r="A29" s="86" t="s">
        <v>578</v>
      </c>
      <c r="B29" s="40">
        <v>99.61</v>
      </c>
      <c r="C29" s="20">
        <v>5.9</v>
      </c>
      <c r="D29" s="97"/>
      <c r="E29" s="90"/>
    </row>
    <row r="30" spans="1:7">
      <c r="A30" s="86" t="s">
        <v>579</v>
      </c>
      <c r="B30" s="15">
        <v>109.32</v>
      </c>
      <c r="C30" s="20">
        <v>5.76</v>
      </c>
      <c r="D30" s="97"/>
      <c r="E30" s="90"/>
      <c r="G30" s="98"/>
    </row>
    <row r="31" spans="1:7">
      <c r="A31" s="99" t="s">
        <v>580</v>
      </c>
      <c r="B31" s="100">
        <v>119.75</v>
      </c>
      <c r="C31" s="23">
        <v>6</v>
      </c>
      <c r="D31" s="101"/>
      <c r="E31" s="102"/>
    </row>
  </sheetData>
  <sheetProtection password="DC9E" sheet="1" objects="1" scenarios="1"/>
  <mergeCells count="8">
    <mergeCell ref="A1:E1"/>
    <mergeCell ref="D2:E2"/>
    <mergeCell ref="B4:C4"/>
    <mergeCell ref="D4:E4"/>
    <mergeCell ref="B18:C18"/>
    <mergeCell ref="D18:E18"/>
    <mergeCell ref="A4:A5"/>
    <mergeCell ref="A18:A19"/>
  </mergeCells>
  <phoneticPr fontId="11" type="noConversion"/>
  <pageMargins left="0.75" right="0.75" top="1" bottom="1" header="0.50902777777777797" footer="0.50902777777777797"/>
</worksheet>
</file>

<file path=xl/worksheets/sheet51.xml><?xml version="1.0" encoding="utf-8"?>
<worksheet xmlns="http://schemas.openxmlformats.org/spreadsheetml/2006/main" xmlns:r="http://schemas.openxmlformats.org/officeDocument/2006/relationships">
  <sheetPr>
    <tabColor theme="5"/>
  </sheetPr>
  <dimension ref="A1:G31"/>
  <sheetViews>
    <sheetView topLeftCell="A7" workbookViewId="0">
      <selection activeCell="B27" sqref="B27:C31"/>
    </sheetView>
  </sheetViews>
  <sheetFormatPr defaultColWidth="9" defaultRowHeight="14.25"/>
  <cols>
    <col min="1" max="1" width="14.375" style="43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spans="1:7" ht="33.75" customHeight="1">
      <c r="A1" s="1058" t="s">
        <v>590</v>
      </c>
      <c r="B1" s="1058"/>
      <c r="C1" s="1058"/>
      <c r="D1" s="1058"/>
      <c r="E1" s="1058"/>
      <c r="F1" s="1058"/>
      <c r="G1" s="44"/>
    </row>
    <row r="2" spans="1:7" ht="20.25" customHeight="1">
      <c r="A2" s="45"/>
      <c r="B2" s="45"/>
      <c r="C2" s="1147" t="s">
        <v>591</v>
      </c>
      <c r="D2" s="1147"/>
      <c r="E2" s="1147"/>
      <c r="F2" s="1147"/>
      <c r="G2" s="44"/>
    </row>
    <row r="3" spans="1:7" s="42" customFormat="1" ht="31.5" customHeight="1">
      <c r="A3" s="1146" t="s">
        <v>563</v>
      </c>
      <c r="B3" s="1146" t="s">
        <v>11</v>
      </c>
      <c r="C3" s="1146"/>
      <c r="D3" s="47"/>
      <c r="E3" s="48"/>
      <c r="F3" s="49"/>
      <c r="G3" s="50"/>
    </row>
    <row r="4" spans="1:7" s="42" customFormat="1" ht="31.5" customHeight="1">
      <c r="A4" s="1146"/>
      <c r="B4" s="6" t="s">
        <v>564</v>
      </c>
      <c r="C4" s="7" t="s">
        <v>565</v>
      </c>
      <c r="D4" s="51"/>
      <c r="E4" s="52"/>
      <c r="F4" s="53"/>
      <c r="G4" s="50"/>
    </row>
    <row r="5" spans="1:7" ht="18" customHeight="1">
      <c r="A5" s="8">
        <v>2016</v>
      </c>
      <c r="B5" s="76"/>
      <c r="C5" s="10"/>
      <c r="D5" s="54"/>
      <c r="E5" s="54"/>
      <c r="F5" s="54"/>
    </row>
    <row r="6" spans="1:7" ht="18" customHeight="1">
      <c r="A6" s="8">
        <v>5</v>
      </c>
      <c r="B6" s="76">
        <f>ROUND(3079283,0)</f>
        <v>3079283</v>
      </c>
      <c r="C6" s="10">
        <f>ROUND(7.2,1)</f>
        <v>7.2</v>
      </c>
      <c r="D6" s="54"/>
      <c r="E6" s="54"/>
      <c r="F6" s="54"/>
    </row>
    <row r="7" spans="1:7" ht="18" customHeight="1">
      <c r="A7" s="8">
        <v>6</v>
      </c>
      <c r="B7" s="76">
        <f>ROUND(5096563,0)</f>
        <v>5096563</v>
      </c>
      <c r="C7" s="10">
        <f>ROUND(15.1,1)</f>
        <v>15.1</v>
      </c>
      <c r="D7" s="54"/>
      <c r="E7" s="54"/>
      <c r="F7" s="54"/>
    </row>
    <row r="8" spans="1:7" ht="18" customHeight="1">
      <c r="A8" s="8">
        <v>7</v>
      </c>
      <c r="B8" s="76">
        <f>ROUND(6263505,0)</f>
        <v>6263505</v>
      </c>
      <c r="C8" s="77">
        <f>ROUND(16.3,1)</f>
        <v>16.3</v>
      </c>
      <c r="D8" s="54"/>
      <c r="E8" s="54"/>
      <c r="F8" s="54"/>
    </row>
    <row r="9" spans="1:7" ht="18" customHeight="1">
      <c r="A9" s="8">
        <v>8</v>
      </c>
      <c r="B9" s="76">
        <f>ROUND(7372203,0)</f>
        <v>7372203</v>
      </c>
      <c r="C9" s="10">
        <f>ROUND(24.8,1)</f>
        <v>24.8</v>
      </c>
      <c r="D9" s="54"/>
      <c r="E9" s="54"/>
      <c r="F9" s="54"/>
    </row>
    <row r="10" spans="1:7" ht="18" customHeight="1">
      <c r="A10" s="8">
        <v>9</v>
      </c>
      <c r="B10" s="76">
        <f>ROUND(8717492,0)</f>
        <v>8717492</v>
      </c>
      <c r="C10" s="10">
        <f>ROUND(23.5,1)</f>
        <v>23.5</v>
      </c>
      <c r="D10" s="54"/>
      <c r="E10" s="54"/>
      <c r="F10" s="54"/>
    </row>
    <row r="11" spans="1:7" ht="18" customHeight="1">
      <c r="A11" s="8">
        <v>10</v>
      </c>
      <c r="B11" s="76">
        <f>ROUND(10215452,0)</f>
        <v>10215452</v>
      </c>
      <c r="C11" s="10">
        <f>ROUND(22.6,1)</f>
        <v>22.6</v>
      </c>
      <c r="D11" s="54"/>
      <c r="E11" s="54"/>
      <c r="F11" s="54"/>
    </row>
    <row r="12" spans="1:7">
      <c r="A12" s="8">
        <v>11</v>
      </c>
      <c r="B12" s="76">
        <f>ROUND(12000485,0)</f>
        <v>12000485</v>
      </c>
      <c r="C12" s="10">
        <f>ROUND(23.9,1)</f>
        <v>23.9</v>
      </c>
    </row>
    <row r="13" spans="1:7">
      <c r="A13" s="8">
        <v>12</v>
      </c>
      <c r="B13" s="76">
        <f>ROUND(15315995,0)</f>
        <v>15315995</v>
      </c>
      <c r="C13" s="10">
        <f>ROUND(16.6,1)</f>
        <v>16.600000000000001</v>
      </c>
    </row>
    <row r="14" spans="1:7">
      <c r="A14" s="8">
        <v>2017</v>
      </c>
      <c r="B14" s="78"/>
      <c r="C14" s="79"/>
    </row>
    <row r="15" spans="1:7">
      <c r="A15" s="8">
        <v>2</v>
      </c>
      <c r="B15" s="76">
        <f>ROUND(796488,0)</f>
        <v>796488</v>
      </c>
      <c r="C15" s="10">
        <f>ROUND(5.3,1)</f>
        <v>5.3</v>
      </c>
    </row>
    <row r="16" spans="1:7">
      <c r="A16" s="8">
        <v>3</v>
      </c>
      <c r="B16" s="78">
        <f>ROUND(1575746,0)</f>
        <v>1575746</v>
      </c>
      <c r="C16" s="10">
        <f>ROUND(7.9,1)</f>
        <v>7.9</v>
      </c>
    </row>
    <row r="17" spans="1:3">
      <c r="A17" s="65">
        <v>4</v>
      </c>
      <c r="B17" s="40">
        <f>ROUND(2056743,0)</f>
        <v>2056743</v>
      </c>
      <c r="C17" s="10">
        <f>ROUND(-0.7,1)</f>
        <v>-0.7</v>
      </c>
    </row>
    <row r="18" spans="1:3">
      <c r="A18" s="65">
        <v>5</v>
      </c>
      <c r="B18" s="15">
        <f>ROUND(2889968,0)</f>
        <v>2889968</v>
      </c>
      <c r="C18" s="10">
        <f>ROUND(-6.1,1)</f>
        <v>-6.1</v>
      </c>
    </row>
    <row r="19" spans="1:3">
      <c r="A19" s="65">
        <v>6</v>
      </c>
      <c r="B19" s="15">
        <f>ROUND(5604382,0)</f>
        <v>5604382</v>
      </c>
      <c r="C19" s="10">
        <f>ROUND(10,1)</f>
        <v>10</v>
      </c>
    </row>
    <row r="20" spans="1:3">
      <c r="A20" s="65">
        <v>7</v>
      </c>
      <c r="B20" s="78">
        <f>ROUND(6864511,0)</f>
        <v>6864511</v>
      </c>
      <c r="C20" s="10">
        <f>ROUND(9.6,1)</f>
        <v>9.6</v>
      </c>
    </row>
    <row r="21" spans="1:3">
      <c r="A21" s="80">
        <v>8</v>
      </c>
      <c r="B21" s="40">
        <f>ROUND(8096944,0)</f>
        <v>8096944</v>
      </c>
      <c r="C21" s="10">
        <f>ROUND(9.8,1)</f>
        <v>9.8000000000000007</v>
      </c>
    </row>
    <row r="22" spans="1:3">
      <c r="A22" s="80">
        <v>9</v>
      </c>
      <c r="B22" s="40">
        <f>ROUND(9772404,0)</f>
        <v>9772404</v>
      </c>
      <c r="C22" s="10">
        <f>ROUND(12.1010951314896,1)</f>
        <v>12.1</v>
      </c>
    </row>
    <row r="23" spans="1:3">
      <c r="A23" s="80">
        <v>10</v>
      </c>
      <c r="B23" s="40">
        <f>ROUND(11367531,0)</f>
        <v>11367531</v>
      </c>
      <c r="C23" s="10">
        <f>ROUND(11.3,1)</f>
        <v>11.3</v>
      </c>
    </row>
    <row r="24" spans="1:3">
      <c r="A24" s="80">
        <v>11</v>
      </c>
      <c r="B24" s="40">
        <f>ROUND(13376063,0)</f>
        <v>13376063</v>
      </c>
      <c r="C24" s="10">
        <f>ROUND(11.5,1)</f>
        <v>11.5</v>
      </c>
    </row>
    <row r="25" spans="1:3">
      <c r="A25" s="80">
        <v>12</v>
      </c>
      <c r="B25" s="40">
        <f>ROUND(16415341,0)</f>
        <v>16415341</v>
      </c>
      <c r="C25" s="10">
        <f>ROUND(7.2,1)</f>
        <v>7.2</v>
      </c>
    </row>
    <row r="26" spans="1:3">
      <c r="A26" s="14">
        <v>2018</v>
      </c>
      <c r="B26" s="15"/>
      <c r="C26" s="16"/>
    </row>
    <row r="27" spans="1:3">
      <c r="A27" s="14">
        <v>2</v>
      </c>
      <c r="B27" s="15">
        <f>ROUND(844761,0)</f>
        <v>844761</v>
      </c>
      <c r="C27" s="20">
        <f>ROUND(8.8,1)</f>
        <v>8.8000000000000007</v>
      </c>
    </row>
    <row r="28" spans="1:3">
      <c r="A28" s="14">
        <v>3</v>
      </c>
      <c r="B28" s="15">
        <f>ROUND(2020022,0)</f>
        <v>2020022</v>
      </c>
      <c r="C28" s="20">
        <f>ROUND(31.6,1)</f>
        <v>31.6</v>
      </c>
    </row>
    <row r="29" spans="1:3">
      <c r="A29" s="14">
        <v>4</v>
      </c>
      <c r="B29" s="40">
        <f>ROUND(2639275,0)</f>
        <v>2639275</v>
      </c>
      <c r="C29" s="20">
        <f>ROUND(31,1)</f>
        <v>31</v>
      </c>
    </row>
    <row r="30" spans="1:3">
      <c r="A30" s="14">
        <v>5</v>
      </c>
      <c r="B30" s="40">
        <v>3391968</v>
      </c>
      <c r="C30" s="20">
        <v>19.600000000000001</v>
      </c>
    </row>
    <row r="31" spans="1:3">
      <c r="A31" s="21">
        <v>6</v>
      </c>
      <c r="B31" s="81">
        <v>5515829</v>
      </c>
      <c r="C31" s="82">
        <v>13.6</v>
      </c>
    </row>
  </sheetData>
  <mergeCells count="4">
    <mergeCell ref="A1:F1"/>
    <mergeCell ref="C2:F2"/>
    <mergeCell ref="B3:C3"/>
    <mergeCell ref="A3:A4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52.xml><?xml version="1.0" encoding="utf-8"?>
<worksheet xmlns="http://schemas.openxmlformats.org/spreadsheetml/2006/main" xmlns:r="http://schemas.openxmlformats.org/officeDocument/2006/relationships">
  <sheetPr>
    <tabColor theme="5"/>
  </sheetPr>
  <dimension ref="A1:G30"/>
  <sheetViews>
    <sheetView topLeftCell="A7" workbookViewId="0">
      <selection activeCell="B26" sqref="B26:C30"/>
    </sheetView>
  </sheetViews>
  <sheetFormatPr defaultColWidth="9" defaultRowHeight="14.25"/>
  <cols>
    <col min="1" max="1" width="14.375" style="43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spans="1:7" ht="33.75" customHeight="1">
      <c r="A1" s="1058" t="s">
        <v>592</v>
      </c>
      <c r="B1" s="1058"/>
      <c r="C1" s="1058"/>
      <c r="D1" s="1058"/>
      <c r="E1" s="1058"/>
      <c r="F1" s="1058"/>
      <c r="G1" s="44"/>
    </row>
    <row r="2" spans="1:7" ht="20.25" customHeight="1">
      <c r="A2" s="45"/>
      <c r="B2" s="45"/>
      <c r="C2" s="1147" t="s">
        <v>591</v>
      </c>
      <c r="D2" s="1147"/>
      <c r="E2" s="1147"/>
      <c r="F2" s="1147"/>
      <c r="G2" s="44"/>
    </row>
    <row r="3" spans="1:7" s="42" customFormat="1" ht="31.5" customHeight="1">
      <c r="A3" s="1146" t="s">
        <v>563</v>
      </c>
      <c r="B3" s="1146" t="s">
        <v>15</v>
      </c>
      <c r="C3" s="1146"/>
      <c r="D3" s="47"/>
      <c r="E3" s="48"/>
      <c r="F3" s="49"/>
      <c r="G3" s="50"/>
    </row>
    <row r="4" spans="1:7" s="42" customFormat="1" ht="31.5" customHeight="1">
      <c r="A4" s="1146"/>
      <c r="B4" s="6" t="s">
        <v>564</v>
      </c>
      <c r="C4" s="7" t="s">
        <v>565</v>
      </c>
      <c r="D4" s="51"/>
      <c r="E4" s="52"/>
      <c r="F4" s="53"/>
      <c r="G4" s="50"/>
    </row>
    <row r="5" spans="1:7" ht="18" customHeight="1">
      <c r="A5" s="8">
        <v>2016</v>
      </c>
      <c r="B5" s="60"/>
      <c r="C5" s="10"/>
      <c r="D5" s="54"/>
      <c r="E5" s="54"/>
      <c r="F5" s="54"/>
    </row>
    <row r="6" spans="1:7" ht="18" customHeight="1">
      <c r="A6" s="8">
        <v>6</v>
      </c>
      <c r="B6" s="61">
        <f>ROUND(6760206,0)</f>
        <v>6760206</v>
      </c>
      <c r="C6" s="62">
        <f>ROUND(8.8,1)</f>
        <v>8.8000000000000007</v>
      </c>
      <c r="D6" s="54"/>
      <c r="E6" s="54"/>
      <c r="F6" s="54"/>
    </row>
    <row r="7" spans="1:7" ht="18" customHeight="1">
      <c r="A7" s="8">
        <v>7</v>
      </c>
      <c r="B7" s="61">
        <f>ROUND(7975890,0)</f>
        <v>7975890</v>
      </c>
      <c r="C7" s="62">
        <f>ROUND(9,1)</f>
        <v>9</v>
      </c>
      <c r="D7" s="54"/>
      <c r="E7" s="54"/>
      <c r="F7" s="54"/>
    </row>
    <row r="8" spans="1:7" ht="18" customHeight="1">
      <c r="A8" s="8">
        <v>8</v>
      </c>
      <c r="B8" s="61">
        <f>ROUND(9193702.5,0)</f>
        <v>9193703</v>
      </c>
      <c r="C8" s="62">
        <f>ROUND(8.9,1)</f>
        <v>8.9</v>
      </c>
      <c r="D8" s="54"/>
      <c r="E8" s="54"/>
      <c r="F8" s="54"/>
    </row>
    <row r="9" spans="1:7">
      <c r="A9" s="8">
        <v>9</v>
      </c>
      <c r="B9" s="63">
        <f>ROUND(10457008.3,0)</f>
        <v>10457008</v>
      </c>
      <c r="C9" s="62">
        <f>ROUND(9.3,1)</f>
        <v>9.3000000000000007</v>
      </c>
    </row>
    <row r="10" spans="1:7">
      <c r="A10" s="8">
        <v>10</v>
      </c>
      <c r="B10" s="63">
        <f>ROUND(11782159.5,0)</f>
        <v>11782160</v>
      </c>
      <c r="C10" s="62">
        <f>ROUND(9.5,1)</f>
        <v>9.5</v>
      </c>
    </row>
    <row r="11" spans="1:7">
      <c r="A11" s="8">
        <v>11</v>
      </c>
      <c r="B11" s="64">
        <f>ROUND(13025842,0)</f>
        <v>13025842</v>
      </c>
      <c r="C11" s="62">
        <f>ROUND(9.4,1)</f>
        <v>9.4</v>
      </c>
    </row>
    <row r="12" spans="1:7" ht="15.95" customHeight="1">
      <c r="A12" s="65">
        <v>12</v>
      </c>
      <c r="B12" s="66">
        <f>ROUND(14329570,0)</f>
        <v>14329570</v>
      </c>
      <c r="C12" s="67">
        <f>ROUND(9.5,1)</f>
        <v>9.5</v>
      </c>
    </row>
    <row r="13" spans="1:7" ht="15.95" customHeight="1">
      <c r="A13" s="65">
        <v>2017</v>
      </c>
      <c r="B13" s="66"/>
      <c r="C13" s="67"/>
    </row>
    <row r="14" spans="1:7" ht="15.95" customHeight="1">
      <c r="A14" s="65">
        <v>2</v>
      </c>
      <c r="B14" s="66">
        <f>ROUND(2520522,0)</f>
        <v>2520522</v>
      </c>
      <c r="C14" s="68">
        <f>ROUND(12,1)</f>
        <v>12</v>
      </c>
    </row>
    <row r="15" spans="1:7" ht="15.95" customHeight="1">
      <c r="A15" s="65">
        <v>3</v>
      </c>
      <c r="B15" s="66">
        <f>ROUND(3755066,0)</f>
        <v>3755066</v>
      </c>
      <c r="C15" s="67">
        <f>ROUND(12.1,1)</f>
        <v>12.1</v>
      </c>
    </row>
    <row r="16" spans="1:7" ht="15.95" customHeight="1">
      <c r="A16" s="65">
        <v>4</v>
      </c>
      <c r="B16" s="66">
        <f>ROUND(4968495,0)</f>
        <v>4968495</v>
      </c>
      <c r="C16" s="67">
        <f>ROUND(11.8,1)</f>
        <v>11.8</v>
      </c>
    </row>
    <row r="17" spans="1:3" ht="15.95" customHeight="1">
      <c r="A17" s="65">
        <v>5</v>
      </c>
      <c r="B17" s="66">
        <f>ROUND(6247711,0)</f>
        <v>6247711</v>
      </c>
      <c r="C17" s="67">
        <f>ROUND(11.5,1)</f>
        <v>11.5</v>
      </c>
    </row>
    <row r="18" spans="1:3" ht="15.95" customHeight="1">
      <c r="A18" s="65">
        <v>6</v>
      </c>
      <c r="B18" s="66">
        <f>ROUND(7543984,0)</f>
        <v>7543984</v>
      </c>
      <c r="C18" s="67">
        <f>ROUND(11.1,1)</f>
        <v>11.1</v>
      </c>
    </row>
    <row r="19" spans="1:3" ht="15.95" customHeight="1">
      <c r="A19" s="65">
        <v>7</v>
      </c>
      <c r="B19" s="66">
        <f>ROUND(8865132,0)</f>
        <v>8865132</v>
      </c>
      <c r="C19" s="67">
        <f>ROUND(10.8,1)</f>
        <v>10.8</v>
      </c>
    </row>
    <row r="20" spans="1:3" ht="15.95" customHeight="1">
      <c r="A20" s="69">
        <v>8</v>
      </c>
      <c r="B20" s="70">
        <f>ROUND(10165674.4,0)</f>
        <v>10165674</v>
      </c>
      <c r="C20" s="71">
        <f>ROUND(10.2,1)</f>
        <v>10.199999999999999</v>
      </c>
    </row>
    <row r="21" spans="1:3">
      <c r="A21" s="65">
        <v>9</v>
      </c>
      <c r="B21" s="70">
        <f>ROUND(11558876.6,0)</f>
        <v>11558877</v>
      </c>
      <c r="C21" s="71">
        <f>ROUND(10.2,1)</f>
        <v>10.199999999999999</v>
      </c>
    </row>
    <row r="22" spans="1:3">
      <c r="A22" s="65">
        <v>10</v>
      </c>
      <c r="B22" s="70">
        <f>ROUND(12962204,0)</f>
        <v>12962204</v>
      </c>
      <c r="C22" s="71">
        <f>ROUND(10.2,1)</f>
        <v>10.199999999999999</v>
      </c>
    </row>
    <row r="23" spans="1:3">
      <c r="A23" s="65">
        <v>11</v>
      </c>
      <c r="B23" s="70">
        <f>ROUND(14339244.7,0)</f>
        <v>14339245</v>
      </c>
      <c r="C23" s="72">
        <f>ROUND(10.1873510322444,1)</f>
        <v>10.199999999999999</v>
      </c>
    </row>
    <row r="24" spans="1:3">
      <c r="A24" s="65">
        <v>12</v>
      </c>
      <c r="B24" s="70">
        <f>ROUND(15780801.9,0)</f>
        <v>15780802</v>
      </c>
      <c r="C24" s="72">
        <f>ROUND(10.1275297129633,1)</f>
        <v>10.1</v>
      </c>
    </row>
    <row r="25" spans="1:3">
      <c r="A25" s="14">
        <v>2018</v>
      </c>
      <c r="B25" s="15"/>
      <c r="C25" s="16"/>
    </row>
    <row r="26" spans="1:3">
      <c r="A26" s="14">
        <v>2</v>
      </c>
      <c r="B26" s="73">
        <f>ROUND(2761961.2,0)</f>
        <v>2761961</v>
      </c>
      <c r="C26" s="16">
        <f>ROUND(10.1,1)</f>
        <v>10.1</v>
      </c>
    </row>
    <row r="27" spans="1:3">
      <c r="A27" s="14">
        <v>3</v>
      </c>
      <c r="B27" s="73">
        <f>ROUND(4120562.9,0)</f>
        <v>4120563</v>
      </c>
      <c r="C27" s="16">
        <f>ROUND(10.1,1)</f>
        <v>10.1</v>
      </c>
    </row>
    <row r="28" spans="1:3">
      <c r="A28" s="14">
        <v>4</v>
      </c>
      <c r="B28" s="73">
        <f>ROUND(5462840,0)</f>
        <v>5462840</v>
      </c>
      <c r="C28" s="16">
        <f>ROUND(10.1,1)</f>
        <v>10.1</v>
      </c>
    </row>
    <row r="29" spans="1:3">
      <c r="A29" s="14">
        <v>5</v>
      </c>
      <c r="B29" s="73">
        <v>6829174</v>
      </c>
      <c r="C29" s="20">
        <v>10</v>
      </c>
    </row>
    <row r="30" spans="1:3">
      <c r="A30" s="21">
        <v>6</v>
      </c>
      <c r="B30" s="74">
        <v>8214416</v>
      </c>
      <c r="C30" s="75">
        <v>10</v>
      </c>
    </row>
  </sheetData>
  <mergeCells count="4">
    <mergeCell ref="A1:F1"/>
    <mergeCell ref="C2:F2"/>
    <mergeCell ref="B3:C3"/>
    <mergeCell ref="A3:A4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53.xml><?xml version="1.0" encoding="utf-8"?>
<worksheet xmlns="http://schemas.openxmlformats.org/spreadsheetml/2006/main" xmlns:r="http://schemas.openxmlformats.org/officeDocument/2006/relationships">
  <sheetPr>
    <tabColor theme="5"/>
  </sheetPr>
  <dimension ref="A1:H32"/>
  <sheetViews>
    <sheetView workbookViewId="0">
      <selection activeCell="J35" sqref="J35"/>
    </sheetView>
  </sheetViews>
  <sheetFormatPr defaultColWidth="9" defaultRowHeight="14.25"/>
  <cols>
    <col min="1" max="1" width="14.375" style="43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spans="1:8" ht="33.75" customHeight="1">
      <c r="A1" s="1058" t="s">
        <v>593</v>
      </c>
      <c r="B1" s="1058"/>
      <c r="C1" s="1058"/>
      <c r="D1" s="1058"/>
      <c r="E1" s="1058"/>
      <c r="F1" s="1058"/>
      <c r="G1" s="44"/>
    </row>
    <row r="2" spans="1:8" ht="20.25" customHeight="1">
      <c r="A2" s="45"/>
      <c r="C2" s="46" t="s">
        <v>594</v>
      </c>
      <c r="D2" s="46"/>
      <c r="E2" s="46"/>
      <c r="F2" s="46"/>
      <c r="G2" s="46"/>
      <c r="H2" s="46"/>
    </row>
    <row r="3" spans="1:8" s="42" customFormat="1" ht="31.5" customHeight="1">
      <c r="A3" s="1146" t="s">
        <v>563</v>
      </c>
      <c r="B3" s="1146" t="s">
        <v>595</v>
      </c>
      <c r="C3" s="1146"/>
      <c r="D3" s="47"/>
      <c r="E3" s="48"/>
      <c r="F3" s="49"/>
      <c r="G3" s="50"/>
    </row>
    <row r="4" spans="1:8" s="42" customFormat="1" ht="31.5" customHeight="1">
      <c r="A4" s="1146"/>
      <c r="B4" s="6" t="s">
        <v>564</v>
      </c>
      <c r="C4" s="7" t="s">
        <v>565</v>
      </c>
      <c r="D4" s="51"/>
      <c r="E4" s="52"/>
      <c r="F4" s="53"/>
      <c r="G4" s="50"/>
    </row>
    <row r="5" spans="1:8" ht="18" customHeight="1">
      <c r="A5" s="8">
        <v>2016</v>
      </c>
      <c r="B5" s="26"/>
      <c r="C5" s="10"/>
      <c r="D5" s="54"/>
      <c r="E5" s="54"/>
      <c r="F5" s="54"/>
      <c r="H5" t="s">
        <v>52</v>
      </c>
    </row>
    <row r="6" spans="1:8" ht="18" customHeight="1">
      <c r="A6" s="8">
        <v>5</v>
      </c>
      <c r="B6" s="26">
        <f>ROUND(651964,0)</f>
        <v>651964</v>
      </c>
      <c r="C6" s="55">
        <f>ROUND(4.3,1)</f>
        <v>4.3</v>
      </c>
      <c r="D6" s="54"/>
      <c r="E6" s="54"/>
      <c r="F6" s="54"/>
    </row>
    <row r="7" spans="1:8" ht="18" customHeight="1">
      <c r="A7" s="8">
        <v>6</v>
      </c>
      <c r="B7" s="26">
        <f>ROUND(780476,0)</f>
        <v>780476</v>
      </c>
      <c r="C7" s="10">
        <f>ROUND(-3.8,1)</f>
        <v>-3.8</v>
      </c>
      <c r="D7" s="54"/>
      <c r="E7" s="54"/>
      <c r="F7" s="54"/>
    </row>
    <row r="8" spans="1:8" ht="18" customHeight="1">
      <c r="A8" s="8">
        <v>7</v>
      </c>
      <c r="B8" s="26">
        <f>ROUND(922333.1019,0)</f>
        <v>922333</v>
      </c>
      <c r="C8" s="10">
        <f>ROUND(-3.98796758100968,1)</f>
        <v>-4</v>
      </c>
      <c r="D8" s="54"/>
      <c r="E8" s="54"/>
      <c r="F8" s="54"/>
    </row>
    <row r="9" spans="1:8">
      <c r="A9" s="8">
        <v>8</v>
      </c>
      <c r="B9" s="26">
        <f>ROUND(1118014,0)</f>
        <v>1118014</v>
      </c>
      <c r="C9" s="10">
        <f>ROUND(2.07,1)</f>
        <v>2.1</v>
      </c>
    </row>
    <row r="10" spans="1:8">
      <c r="A10" s="8">
        <v>9</v>
      </c>
      <c r="B10" s="26">
        <f>ROUND(1355582.6735,0)</f>
        <v>1355583</v>
      </c>
      <c r="C10" s="10">
        <f>ROUND(10.8909650955423,1)</f>
        <v>10.9</v>
      </c>
    </row>
    <row r="11" spans="1:8">
      <c r="A11" s="8">
        <v>10</v>
      </c>
      <c r="B11" s="26">
        <f>ROUND(1530438,0)</f>
        <v>1530438</v>
      </c>
      <c r="C11" s="10">
        <f>ROUND(12,1)</f>
        <v>12</v>
      </c>
    </row>
    <row r="12" spans="1:8">
      <c r="A12" s="56">
        <v>11</v>
      </c>
      <c r="B12" s="26">
        <f>ROUND(1711506,0)</f>
        <v>1711506</v>
      </c>
      <c r="C12" s="10">
        <f>ROUND(14,1)</f>
        <v>14</v>
      </c>
    </row>
    <row r="13" spans="1:8">
      <c r="A13" s="56">
        <v>12</v>
      </c>
      <c r="B13" s="26">
        <f>ROUND(1947922,0)</f>
        <v>1947922</v>
      </c>
      <c r="C13" s="10">
        <f>ROUND(11.8,1)</f>
        <v>11.8</v>
      </c>
    </row>
    <row r="14" spans="1:8">
      <c r="A14" s="56">
        <v>2017</v>
      </c>
      <c r="B14" s="26"/>
      <c r="C14" s="10"/>
    </row>
    <row r="15" spans="1:8">
      <c r="A15" s="56">
        <v>1</v>
      </c>
      <c r="B15" s="26">
        <f>ROUND(181359,0)</f>
        <v>181359</v>
      </c>
      <c r="C15" s="10">
        <f>ROUND(-7.6,1)</f>
        <v>-7.6</v>
      </c>
    </row>
    <row r="16" spans="1:8">
      <c r="A16" s="56">
        <v>2</v>
      </c>
      <c r="B16" s="26">
        <f>ROUND(241658,0)</f>
        <v>241658</v>
      </c>
      <c r="C16" s="10">
        <f>ROUND(-11.38,1)</f>
        <v>-11.4</v>
      </c>
    </row>
    <row r="17" spans="1:3">
      <c r="A17" s="56">
        <v>3</v>
      </c>
      <c r="B17" s="26">
        <f>ROUND(415528,0)</f>
        <v>415528</v>
      </c>
      <c r="C17" s="10">
        <f>ROUND(13.9,1)</f>
        <v>13.9</v>
      </c>
    </row>
    <row r="18" spans="1:3">
      <c r="A18" s="56">
        <v>4</v>
      </c>
      <c r="B18" s="26">
        <f>ROUND(594563,0)</f>
        <v>594563</v>
      </c>
      <c r="C18" s="10">
        <f>ROUND(22.2,1)</f>
        <v>22.2</v>
      </c>
    </row>
    <row r="19" spans="1:3">
      <c r="A19" s="56">
        <v>5</v>
      </c>
      <c r="B19" s="26">
        <f>ROUND(815811,0)</f>
        <v>815811</v>
      </c>
      <c r="C19" s="10">
        <f>ROUND(28.7,1)</f>
        <v>28.7</v>
      </c>
    </row>
    <row r="20" spans="1:3">
      <c r="A20" s="56">
        <v>6</v>
      </c>
      <c r="B20" s="26">
        <f>ROUND(1006074,0)</f>
        <v>1006074</v>
      </c>
      <c r="C20" s="10">
        <f>ROUND(32,1)</f>
        <v>32</v>
      </c>
    </row>
    <row r="21" spans="1:3">
      <c r="A21" s="56">
        <v>7</v>
      </c>
      <c r="B21" s="39">
        <f>ROUND(1228741,0)</f>
        <v>1228741</v>
      </c>
      <c r="C21" s="13">
        <f>ROUND(35.9,1)</f>
        <v>35.9</v>
      </c>
    </row>
    <row r="22" spans="1:3">
      <c r="A22" s="56">
        <v>8</v>
      </c>
      <c r="B22" s="39">
        <v>1411285</v>
      </c>
      <c r="C22" s="13">
        <v>28.3</v>
      </c>
    </row>
    <row r="23" spans="1:3">
      <c r="A23" s="56">
        <v>9</v>
      </c>
      <c r="B23" s="39">
        <f>ROUND(1593063,0)</f>
        <v>1593063</v>
      </c>
      <c r="C23" s="13">
        <f>ROUND(19.1,1)</f>
        <v>19.100000000000001</v>
      </c>
    </row>
    <row r="24" spans="1:3">
      <c r="A24" s="56">
        <v>10</v>
      </c>
      <c r="B24" s="39">
        <f>ROUND(1750486,0)</f>
        <v>1750486</v>
      </c>
      <c r="C24" s="13">
        <f>ROUND(15.7303,1)</f>
        <v>15.7</v>
      </c>
    </row>
    <row r="25" spans="1:3">
      <c r="A25" s="56">
        <v>11</v>
      </c>
      <c r="B25" s="39">
        <f>ROUND(1923410,0)</f>
        <v>1923410</v>
      </c>
      <c r="C25" s="13">
        <f>ROUND(12.4106,1)</f>
        <v>12.4</v>
      </c>
    </row>
    <row r="26" spans="1:3">
      <c r="A26" s="56">
        <v>12</v>
      </c>
      <c r="B26" s="39">
        <f>ROUND(2170709.6623,0)</f>
        <v>2170710</v>
      </c>
      <c r="C26" s="13">
        <f>ROUND(11.4496,1)</f>
        <v>11.4</v>
      </c>
    </row>
    <row r="27" spans="1:3">
      <c r="A27" s="14">
        <v>2018</v>
      </c>
      <c r="B27" s="15"/>
      <c r="C27" s="16"/>
    </row>
    <row r="28" spans="1:3">
      <c r="A28" s="14">
        <v>1</v>
      </c>
      <c r="B28" s="39">
        <f>ROUND(245060.5487,0)</f>
        <v>245061</v>
      </c>
      <c r="C28" s="13">
        <f>ROUND(-9.2749,1)</f>
        <v>-9.3000000000000007</v>
      </c>
    </row>
    <row r="29" spans="1:3">
      <c r="A29" s="14">
        <v>2</v>
      </c>
      <c r="B29" s="39">
        <f>ROUND(254273.584,0)</f>
        <v>254274</v>
      </c>
      <c r="C29" s="13">
        <f>ROUND(5.1148,1)</f>
        <v>5.0999999999999996</v>
      </c>
    </row>
    <row r="30" spans="1:3">
      <c r="A30" s="14">
        <v>3</v>
      </c>
      <c r="B30" s="39">
        <f>ROUND(368490,0)</f>
        <v>368490</v>
      </c>
      <c r="C30" s="57">
        <f>ROUND(-11.4,1)</f>
        <v>-11.4</v>
      </c>
    </row>
    <row r="31" spans="1:3">
      <c r="A31" s="14">
        <v>4</v>
      </c>
      <c r="B31" s="39">
        <v>498314.23139999999</v>
      </c>
      <c r="C31" s="57">
        <v>-16.243200000000002</v>
      </c>
    </row>
    <row r="32" spans="1:3">
      <c r="A32" s="21">
        <v>5</v>
      </c>
      <c r="B32" s="58">
        <v>696319</v>
      </c>
      <c r="C32" s="59">
        <v>-14.7</v>
      </c>
    </row>
  </sheetData>
  <mergeCells count="3">
    <mergeCell ref="A1:F1"/>
    <mergeCell ref="B3:C3"/>
    <mergeCell ref="A3:A4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54.xml><?xml version="1.0" encoding="utf-8"?>
<worksheet xmlns="http://schemas.openxmlformats.org/spreadsheetml/2006/main" xmlns:r="http://schemas.openxmlformats.org/officeDocument/2006/relationships">
  <sheetPr>
    <tabColor theme="5"/>
  </sheetPr>
  <dimension ref="A1:C31"/>
  <sheetViews>
    <sheetView topLeftCell="A7" workbookViewId="0">
      <selection activeCell="H36" sqref="H36"/>
    </sheetView>
  </sheetViews>
  <sheetFormatPr defaultColWidth="9" defaultRowHeight="14.25"/>
  <cols>
    <col min="1" max="1" width="14.375" customWidth="1"/>
    <col min="2" max="2" width="26.875" customWidth="1"/>
    <col min="3" max="3" width="18.875" customWidth="1"/>
  </cols>
  <sheetData>
    <row r="1" spans="1:3" ht="22.5">
      <c r="A1" s="1104" t="s">
        <v>596</v>
      </c>
      <c r="B1" s="1104"/>
      <c r="C1" s="1104"/>
    </row>
    <row r="2" spans="1:3" ht="22.5">
      <c r="A2" s="24"/>
      <c r="B2" s="24"/>
      <c r="C2" s="25" t="s">
        <v>591</v>
      </c>
    </row>
    <row r="3" spans="1:3" ht="32.1" customHeight="1">
      <c r="A3" s="1146" t="s">
        <v>563</v>
      </c>
      <c r="B3" s="1146" t="s">
        <v>16</v>
      </c>
      <c r="C3" s="1146"/>
    </row>
    <row r="4" spans="1:3" ht="32.1" customHeight="1">
      <c r="A4" s="1146"/>
      <c r="B4" s="6" t="s">
        <v>564</v>
      </c>
      <c r="C4" s="7" t="s">
        <v>565</v>
      </c>
    </row>
    <row r="5" spans="1:3" ht="18" customHeight="1">
      <c r="A5" s="8">
        <v>2016</v>
      </c>
      <c r="B5" s="26"/>
      <c r="C5" s="10"/>
    </row>
    <row r="6" spans="1:3" ht="18" customHeight="1">
      <c r="A6" s="8">
        <v>6</v>
      </c>
      <c r="B6" s="26">
        <f>ROUND(566175,0)</f>
        <v>566175</v>
      </c>
      <c r="C6" s="10">
        <f>ROUND(5,1)</f>
        <v>5</v>
      </c>
    </row>
    <row r="7" spans="1:3">
      <c r="A7" s="8">
        <v>7</v>
      </c>
      <c r="B7" s="26">
        <f>ROUND(663904,0)</f>
        <v>663904</v>
      </c>
      <c r="C7" s="10">
        <f>ROUND(7.7,1)</f>
        <v>7.7</v>
      </c>
    </row>
    <row r="8" spans="1:3">
      <c r="A8" s="8">
        <v>8</v>
      </c>
      <c r="B8" s="26">
        <f>ROUND(735390,0)</f>
        <v>735390</v>
      </c>
      <c r="C8" s="10">
        <f>ROUND(7.7,1)</f>
        <v>7.7</v>
      </c>
    </row>
    <row r="9" spans="1:3">
      <c r="A9" s="8">
        <v>9</v>
      </c>
      <c r="B9" s="26">
        <f>ROUND(815736,0)</f>
        <v>815736</v>
      </c>
      <c r="C9" s="28">
        <f>ROUND(7.2,1)</f>
        <v>7.2</v>
      </c>
    </row>
    <row r="10" spans="1:3">
      <c r="A10" s="8">
        <v>10</v>
      </c>
      <c r="B10" s="26">
        <f>ROUND(894414,0)</f>
        <v>894414</v>
      </c>
      <c r="C10" s="28">
        <f>ROUND(7.36088408731323,1)</f>
        <v>7.4</v>
      </c>
    </row>
    <row r="11" spans="1:3">
      <c r="A11" s="8">
        <v>11</v>
      </c>
      <c r="B11" s="26">
        <f>ROUND(966337,0)</f>
        <v>966337</v>
      </c>
      <c r="C11" s="29">
        <f>ROUND(3.8,1)</f>
        <v>3.8</v>
      </c>
    </row>
    <row r="12" spans="1:3">
      <c r="A12" s="8">
        <v>12</v>
      </c>
      <c r="B12" s="26">
        <f>ROUND(1129375,0)</f>
        <v>1129375</v>
      </c>
      <c r="C12" s="29">
        <f>ROUND(-4.8,1)</f>
        <v>-4.8</v>
      </c>
    </row>
    <row r="13" spans="1:3">
      <c r="A13" s="8">
        <v>2017</v>
      </c>
      <c r="B13" s="26"/>
      <c r="C13" s="29"/>
    </row>
    <row r="14" spans="1:3">
      <c r="A14" s="8">
        <v>2</v>
      </c>
      <c r="B14" s="26">
        <f>ROUND(168865,0)</f>
        <v>168865</v>
      </c>
      <c r="C14" s="29">
        <f>ROUND(21.3,1)</f>
        <v>21.3</v>
      </c>
    </row>
    <row r="15" spans="1:3">
      <c r="A15" s="8">
        <v>3</v>
      </c>
      <c r="B15" s="26">
        <f>ROUND(248142,0)</f>
        <v>248142</v>
      </c>
      <c r="C15" s="29">
        <f>ROUND(15.8466028595928,1)</f>
        <v>15.8</v>
      </c>
    </row>
    <row r="16" spans="1:3">
      <c r="A16" s="8">
        <v>4</v>
      </c>
      <c r="B16" s="26">
        <f>ROUND(325815,0)</f>
        <v>325815</v>
      </c>
      <c r="C16" s="29">
        <v>7.3833355854890899</v>
      </c>
    </row>
    <row r="17" spans="1:3">
      <c r="A17" s="8">
        <v>5</v>
      </c>
      <c r="B17" s="26">
        <f>ROUND(401635,0)</f>
        <v>401635</v>
      </c>
      <c r="C17" s="29">
        <f>ROUND(2.1,1)</f>
        <v>2.1</v>
      </c>
    </row>
    <row r="18" spans="1:3">
      <c r="A18" s="8">
        <v>6</v>
      </c>
      <c r="B18" s="26">
        <f>ROUND(583819,0)</f>
        <v>583819</v>
      </c>
      <c r="C18" s="29">
        <f>ROUND(6.8,1)</f>
        <v>6.8</v>
      </c>
    </row>
    <row r="19" spans="1:3">
      <c r="A19" s="8">
        <v>7</v>
      </c>
      <c r="B19" s="26">
        <f>ROUND(672492,0)</f>
        <v>672492</v>
      </c>
      <c r="C19" s="29">
        <f>ROUND(4.4,1)</f>
        <v>4.4000000000000004</v>
      </c>
    </row>
    <row r="20" spans="1:3">
      <c r="A20" s="30">
        <v>8</v>
      </c>
      <c r="B20" s="26">
        <f>ROUND(745911,0)</f>
        <v>745911</v>
      </c>
      <c r="C20" s="31">
        <f>ROUND(4.2,1)</f>
        <v>4.2</v>
      </c>
    </row>
    <row r="21" spans="1:3">
      <c r="A21" s="30">
        <v>9</v>
      </c>
      <c r="B21" s="26">
        <f>ROUND(869421,0)</f>
        <v>869421</v>
      </c>
      <c r="C21" s="31">
        <f>ROUND(9.22031343236707,1)</f>
        <v>9.1999999999999993</v>
      </c>
    </row>
    <row r="22" spans="1:3">
      <c r="A22" s="14">
        <v>10</v>
      </c>
      <c r="B22" s="39">
        <f>ROUND(1196191,0)</f>
        <v>1196191</v>
      </c>
      <c r="C22" s="16">
        <f>ROUND(36.8,1)</f>
        <v>36.799999999999997</v>
      </c>
    </row>
    <row r="23" spans="1:3">
      <c r="A23" s="14">
        <v>11</v>
      </c>
      <c r="B23" s="39">
        <f>ROUND(1260850,0)</f>
        <v>1260850</v>
      </c>
      <c r="C23" s="33">
        <f>ROUND(32.3884093336007,1)</f>
        <v>32.4</v>
      </c>
    </row>
    <row r="24" spans="1:3">
      <c r="A24" s="14">
        <v>12</v>
      </c>
      <c r="B24" s="39">
        <f>ROUND(1349958,0)</f>
        <v>1349958</v>
      </c>
      <c r="C24" s="33">
        <f>ROUND(21.0263352533788,1)</f>
        <v>21</v>
      </c>
    </row>
    <row r="25" spans="1:3">
      <c r="A25" s="14">
        <v>2018</v>
      </c>
      <c r="B25" s="15"/>
      <c r="C25" s="16"/>
    </row>
    <row r="26" spans="1:3">
      <c r="A26" s="14">
        <v>1</v>
      </c>
      <c r="B26" s="15">
        <f>ROUND(131471,0)</f>
        <v>131471</v>
      </c>
      <c r="C26" s="33">
        <f>ROUND(33.4500644558807,1)</f>
        <v>33.5</v>
      </c>
    </row>
    <row r="27" spans="1:3">
      <c r="A27" s="14">
        <v>2</v>
      </c>
      <c r="B27" s="15">
        <f>ROUND(222479,0)</f>
        <v>222479</v>
      </c>
      <c r="C27" s="33">
        <f>ROUND(31.7496224794955,1)</f>
        <v>31.7</v>
      </c>
    </row>
    <row r="28" spans="1:3">
      <c r="A28" s="14">
        <v>3</v>
      </c>
      <c r="B28" s="15">
        <f>ROUND(302572,0)</f>
        <v>302572</v>
      </c>
      <c r="C28" s="33">
        <f>ROUND(21.9350210766416,1)</f>
        <v>21.9</v>
      </c>
    </row>
    <row r="29" spans="1:3">
      <c r="A29" s="14">
        <v>4</v>
      </c>
      <c r="B29" s="40">
        <f>ROUND(403634,0)</f>
        <v>403634</v>
      </c>
      <c r="C29" s="20">
        <f>ROUND(23.9,1)</f>
        <v>23.9</v>
      </c>
    </row>
    <row r="30" spans="1:3">
      <c r="A30" s="14">
        <v>5</v>
      </c>
      <c r="B30" s="40">
        <v>499011</v>
      </c>
      <c r="C30" s="20">
        <v>24.244898975437899</v>
      </c>
    </row>
    <row r="31" spans="1:3">
      <c r="A31" s="21">
        <v>6</v>
      </c>
      <c r="B31" s="41">
        <v>647923</v>
      </c>
      <c r="C31" s="23">
        <v>11</v>
      </c>
    </row>
  </sheetData>
  <mergeCells count="3">
    <mergeCell ref="A1:C1"/>
    <mergeCell ref="B3:C3"/>
    <mergeCell ref="A3:A4"/>
  </mergeCells>
  <phoneticPr fontId="11" type="noConversion"/>
  <printOptions horizontalCentered="1"/>
  <pageMargins left="0.75" right="0.75" top="0.97916666666666696" bottom="0.97916666666666696" header="0.50902777777777797" footer="0.50902777777777797"/>
  <pageSetup paperSize="9" orientation="portrait"/>
  <headerFooter scaleWithDoc="0" alignWithMargins="0"/>
</worksheet>
</file>

<file path=xl/worksheets/sheet55.xml><?xml version="1.0" encoding="utf-8"?>
<worksheet xmlns="http://schemas.openxmlformats.org/spreadsheetml/2006/main" xmlns:r="http://schemas.openxmlformats.org/officeDocument/2006/relationships">
  <sheetPr>
    <tabColor theme="5"/>
  </sheetPr>
  <dimension ref="A1:C30"/>
  <sheetViews>
    <sheetView workbookViewId="0">
      <selection activeCell="F12" sqref="F12"/>
    </sheetView>
  </sheetViews>
  <sheetFormatPr defaultColWidth="9" defaultRowHeight="14.25"/>
  <cols>
    <col min="1" max="1" width="14.375" customWidth="1"/>
    <col min="2" max="2" width="26.875" customWidth="1"/>
    <col min="3" max="3" width="18.875" customWidth="1"/>
  </cols>
  <sheetData>
    <row r="1" spans="1:3" ht="22.5">
      <c r="A1" s="1156" t="s">
        <v>597</v>
      </c>
      <c r="B1" s="1156"/>
      <c r="C1" s="1156"/>
    </row>
    <row r="2" spans="1:3" ht="22.5">
      <c r="A2" s="24"/>
      <c r="B2" s="24"/>
      <c r="C2" s="25" t="s">
        <v>598</v>
      </c>
    </row>
    <row r="3" spans="1:3" ht="32.1" customHeight="1">
      <c r="A3" s="1146" t="s">
        <v>563</v>
      </c>
      <c r="B3" s="1146" t="s">
        <v>588</v>
      </c>
      <c r="C3" s="1146"/>
    </row>
    <row r="4" spans="1:3" ht="32.1" customHeight="1">
      <c r="A4" s="1146"/>
      <c r="B4" s="6" t="s">
        <v>564</v>
      </c>
      <c r="C4" s="7" t="s">
        <v>565</v>
      </c>
    </row>
    <row r="5" spans="1:3" ht="18" customHeight="1">
      <c r="A5" s="8">
        <v>2016</v>
      </c>
      <c r="B5" s="26"/>
      <c r="C5" s="10"/>
    </row>
    <row r="6" spans="1:3" ht="18" customHeight="1">
      <c r="A6" s="8">
        <v>6</v>
      </c>
      <c r="B6" s="27">
        <f>ROUND(38.78,2)</f>
        <v>38.78</v>
      </c>
      <c r="C6" s="10">
        <f>ROUND(31.4,1)</f>
        <v>31.4</v>
      </c>
    </row>
    <row r="7" spans="1:3">
      <c r="A7" s="8">
        <v>7</v>
      </c>
      <c r="B7" s="27">
        <f>ROUND(49.38,2)</f>
        <v>49.38</v>
      </c>
      <c r="C7" s="10">
        <f>ROUND(44.3,1)</f>
        <v>44.3</v>
      </c>
    </row>
    <row r="8" spans="1:3">
      <c r="A8" s="8">
        <v>8</v>
      </c>
      <c r="B8" s="27">
        <f>ROUND(56,2)</f>
        <v>56</v>
      </c>
      <c r="C8" s="10">
        <f>ROUND(41.9,1)</f>
        <v>41.9</v>
      </c>
    </row>
    <row r="9" spans="1:3">
      <c r="A9" s="8">
        <v>9</v>
      </c>
      <c r="B9" s="27">
        <f>ROUND(64.1,2)</f>
        <v>64.099999999999994</v>
      </c>
      <c r="C9" s="28">
        <f>ROUND(44.1,1)</f>
        <v>44.1</v>
      </c>
    </row>
    <row r="10" spans="1:3">
      <c r="A10" s="8">
        <v>10</v>
      </c>
      <c r="B10" s="27">
        <f>ROUND(72.32,2)</f>
        <v>72.319999999999993</v>
      </c>
      <c r="C10" s="28">
        <f>ROUND(47.3,1)</f>
        <v>47.3</v>
      </c>
    </row>
    <row r="11" spans="1:3">
      <c r="A11" s="8">
        <v>11</v>
      </c>
      <c r="B11" s="27">
        <f>ROUND(80.75,2)</f>
        <v>80.75</v>
      </c>
      <c r="C11" s="29">
        <f>ROUND(52,1)</f>
        <v>52</v>
      </c>
    </row>
    <row r="12" spans="1:3">
      <c r="A12" s="8">
        <v>12</v>
      </c>
      <c r="B12" s="27">
        <f>ROUND(89.4,2)</f>
        <v>89.4</v>
      </c>
      <c r="C12" s="29">
        <f>ROUND(52.9,1)</f>
        <v>52.9</v>
      </c>
    </row>
    <row r="13" spans="1:3">
      <c r="A13" s="8">
        <v>2017</v>
      </c>
      <c r="B13" s="27"/>
      <c r="C13" s="29"/>
    </row>
    <row r="14" spans="1:3">
      <c r="A14" s="8">
        <v>2</v>
      </c>
      <c r="B14" s="27">
        <f>ROUND(19.95,2)</f>
        <v>19.95</v>
      </c>
      <c r="C14" s="29">
        <f>ROUND(49.7,1)</f>
        <v>49.7</v>
      </c>
    </row>
    <row r="15" spans="1:3">
      <c r="A15" s="8">
        <v>3</v>
      </c>
      <c r="B15" s="27">
        <f>ROUND(25.02,2)</f>
        <v>25.02</v>
      </c>
      <c r="C15" s="29">
        <f>ROUND(66.7,1)</f>
        <v>66.7</v>
      </c>
    </row>
    <row r="16" spans="1:3">
      <c r="A16" s="8">
        <v>4</v>
      </c>
      <c r="B16" s="27">
        <f>ROUND(34.86,2)</f>
        <v>34.86</v>
      </c>
      <c r="C16" s="29">
        <f>ROUND(55.8,1)</f>
        <v>55.8</v>
      </c>
    </row>
    <row r="17" spans="1:3">
      <c r="A17" s="8">
        <v>5</v>
      </c>
      <c r="B17" s="27">
        <f>ROUND(44.18,2)</f>
        <v>44.18</v>
      </c>
      <c r="C17" s="29">
        <f>ROUND(47.1,1)</f>
        <v>47.1</v>
      </c>
    </row>
    <row r="18" spans="1:3">
      <c r="A18" s="8">
        <v>6</v>
      </c>
      <c r="B18" s="27">
        <f>ROUND(54.94,2)</f>
        <v>54.94</v>
      </c>
      <c r="C18" s="29">
        <f>ROUND(41.7,1)</f>
        <v>41.7</v>
      </c>
    </row>
    <row r="19" spans="1:3">
      <c r="A19" s="8">
        <v>7</v>
      </c>
      <c r="B19" s="27">
        <f>ROUND(64.67,2)</f>
        <v>64.67</v>
      </c>
      <c r="C19" s="29">
        <f>ROUND(35.8,1)</f>
        <v>35.799999999999997</v>
      </c>
    </row>
    <row r="20" spans="1:3">
      <c r="A20" s="30">
        <v>8</v>
      </c>
      <c r="B20" s="27">
        <f>ROUND(75.46,2)</f>
        <v>75.459999999999994</v>
      </c>
      <c r="C20" s="31">
        <f>ROUND(34.8,1)</f>
        <v>34.799999999999997</v>
      </c>
    </row>
    <row r="21" spans="1:3">
      <c r="A21" s="30">
        <v>9</v>
      </c>
      <c r="B21" s="27">
        <f>ROUND(85.67,2)</f>
        <v>85.67</v>
      </c>
      <c r="C21" s="31">
        <f>ROUND(33.7,1)</f>
        <v>33.700000000000003</v>
      </c>
    </row>
    <row r="22" spans="1:3">
      <c r="A22" s="14">
        <v>10</v>
      </c>
      <c r="B22" s="32">
        <f>ROUND(93.88,2)</f>
        <v>93.88</v>
      </c>
      <c r="C22" s="16">
        <f>ROUND(29.8,1)</f>
        <v>29.8</v>
      </c>
    </row>
    <row r="23" spans="1:3">
      <c r="A23" s="14">
        <v>11</v>
      </c>
      <c r="B23" s="32">
        <f>ROUND(102.83,2)</f>
        <v>102.83</v>
      </c>
      <c r="C23" s="33">
        <f>ROUND(27.4,1)</f>
        <v>27.4</v>
      </c>
    </row>
    <row r="24" spans="1:3">
      <c r="A24" s="14">
        <v>12</v>
      </c>
      <c r="B24" s="32">
        <f>ROUND(112.45,2)</f>
        <v>112.45</v>
      </c>
      <c r="C24" s="33">
        <f>ROUND(25.8,1)</f>
        <v>25.8</v>
      </c>
    </row>
    <row r="25" spans="1:3">
      <c r="A25" s="14">
        <v>2018</v>
      </c>
      <c r="B25" s="34"/>
      <c r="C25" s="16"/>
    </row>
    <row r="26" spans="1:3">
      <c r="A26" s="14">
        <v>2</v>
      </c>
      <c r="B26" s="34">
        <f>ROUND(17.26707351,2)</f>
        <v>17.27</v>
      </c>
      <c r="C26" s="33">
        <f>ROUND(6.31,1)</f>
        <v>6.3</v>
      </c>
    </row>
    <row r="27" spans="1:3">
      <c r="A27" s="14">
        <v>3</v>
      </c>
      <c r="B27" s="34">
        <f>ROUND(26.96,2)</f>
        <v>26.96</v>
      </c>
      <c r="C27" s="33">
        <f>ROUND(6.1,1)</f>
        <v>6.1</v>
      </c>
    </row>
    <row r="28" spans="1:3">
      <c r="A28" s="14">
        <v>4</v>
      </c>
      <c r="B28" s="27">
        <f>ROUND(374489.7976/10000,2)</f>
        <v>37.450000000000003</v>
      </c>
      <c r="C28" s="35">
        <f>ROUND(5.86,1)</f>
        <v>5.9</v>
      </c>
    </row>
    <row r="29" spans="1:3">
      <c r="A29" s="14">
        <v>5</v>
      </c>
      <c r="B29" s="27">
        <v>48.08</v>
      </c>
      <c r="C29" s="35">
        <v>9.1</v>
      </c>
    </row>
    <row r="30" spans="1:3">
      <c r="A30" s="21">
        <v>6</v>
      </c>
      <c r="B30" s="36">
        <v>58.99</v>
      </c>
      <c r="C30" s="37">
        <v>8.9</v>
      </c>
    </row>
  </sheetData>
  <mergeCells count="3">
    <mergeCell ref="A1:C1"/>
    <mergeCell ref="B3:C3"/>
    <mergeCell ref="A3:A4"/>
  </mergeCells>
  <phoneticPr fontId="11" type="noConversion"/>
  <printOptions horizontalCentered="1"/>
  <pageMargins left="0.75" right="0.75" top="0.97916666666666696" bottom="0.97916666666666696" header="0.50902777777777797" footer="0.50902777777777797"/>
  <pageSetup paperSize="9" orientation="portrait"/>
  <headerFooter scaleWithDoc="0" alignWithMargins="0"/>
</worksheet>
</file>

<file path=xl/worksheets/sheet56.xml><?xml version="1.0" encoding="utf-8"?>
<worksheet xmlns="http://schemas.openxmlformats.org/spreadsheetml/2006/main" xmlns:r="http://schemas.openxmlformats.org/officeDocument/2006/relationships">
  <sheetPr>
    <tabColor theme="5"/>
  </sheetPr>
  <dimension ref="A1:IV31"/>
  <sheetViews>
    <sheetView topLeftCell="A10" workbookViewId="0">
      <selection activeCell="J41" sqref="J41"/>
    </sheetView>
  </sheetViews>
  <sheetFormatPr defaultColWidth="9" defaultRowHeight="12.75"/>
  <cols>
    <col min="1" max="1" width="14.125" style="2" customWidth="1"/>
    <col min="2" max="2" width="21.375" style="2" customWidth="1"/>
    <col min="3" max="3" width="17.375" style="2" customWidth="1"/>
    <col min="4" max="16384" width="9" style="2"/>
  </cols>
  <sheetData>
    <row r="1" spans="1:256" ht="24" customHeight="1">
      <c r="A1" s="1058" t="s">
        <v>27</v>
      </c>
      <c r="B1" s="1058"/>
      <c r="C1" s="1058"/>
    </row>
    <row r="2" spans="1:256" ht="24" customHeight="1">
      <c r="A2" s="3"/>
      <c r="B2" s="4"/>
      <c r="C2" s="5" t="s">
        <v>599</v>
      </c>
    </row>
    <row r="3" spans="1:256" s="1" customFormat="1" ht="32.25" customHeight="1">
      <c r="A3" s="1146" t="s">
        <v>563</v>
      </c>
      <c r="B3" s="1146" t="s">
        <v>27</v>
      </c>
      <c r="C3" s="1146"/>
    </row>
    <row r="4" spans="1:256" s="1" customFormat="1" ht="32.25" customHeight="1">
      <c r="A4" s="1146">
        <v>2009</v>
      </c>
      <c r="B4" s="6" t="s">
        <v>600</v>
      </c>
      <c r="C4" s="7" t="s">
        <v>601</v>
      </c>
    </row>
    <row r="5" spans="1:256" s="1" customFormat="1" ht="20.100000000000001" customHeight="1">
      <c r="A5" s="8">
        <v>2016</v>
      </c>
      <c r="B5" s="9"/>
      <c r="C5" s="10"/>
    </row>
    <row r="6" spans="1:256" s="1" customFormat="1" ht="20.100000000000001" customHeight="1">
      <c r="A6" s="8">
        <v>6</v>
      </c>
      <c r="B6" s="9">
        <f>ROUND(102.3,1)</f>
        <v>102.3</v>
      </c>
      <c r="C6" s="10">
        <f>ROUND(102.7,1)</f>
        <v>102.7</v>
      </c>
    </row>
    <row r="7" spans="1:256" s="1" customFormat="1" ht="20.100000000000001" customHeight="1">
      <c r="A7" s="8">
        <v>7</v>
      </c>
      <c r="B7" s="9">
        <f>ROUND(102.1,1)</f>
        <v>102.1</v>
      </c>
      <c r="C7" s="10">
        <f>ROUND(102.6,1)</f>
        <v>102.6</v>
      </c>
    </row>
    <row r="8" spans="1:256" s="1" customFormat="1" ht="20.100000000000001" customHeight="1">
      <c r="A8" s="8">
        <v>8</v>
      </c>
      <c r="B8" s="9">
        <f>ROUND(101.4,1)</f>
        <v>101.4</v>
      </c>
      <c r="C8" s="10">
        <f>ROUND(102.5,1)</f>
        <v>102.5</v>
      </c>
    </row>
    <row r="9" spans="1:256" s="1" customFormat="1" ht="14.45" customHeight="1">
      <c r="A9" s="8">
        <v>9</v>
      </c>
      <c r="B9" s="9">
        <f>ROUND(101.82067344,1)</f>
        <v>101.8</v>
      </c>
      <c r="C9" s="10">
        <f>ROUND(102.40761463,1)</f>
        <v>102.4</v>
      </c>
    </row>
    <row r="10" spans="1:256" s="1" customFormat="1" ht="14.45" customHeight="1">
      <c r="A10" s="8">
        <v>10</v>
      </c>
      <c r="B10" s="9">
        <f>ROUND(101.32746357,1)</f>
        <v>101.3</v>
      </c>
      <c r="C10" s="10">
        <f>ROUND(102.29864677,1)</f>
        <v>102.3</v>
      </c>
    </row>
    <row r="11" spans="1:256" s="1" customFormat="1" ht="14.45" customHeight="1">
      <c r="A11" s="8">
        <v>11</v>
      </c>
      <c r="B11" s="9">
        <f>ROUND(102.2,1)</f>
        <v>102.2</v>
      </c>
      <c r="C11" s="10">
        <f>ROUND(102.29864677,1)</f>
        <v>102.3</v>
      </c>
    </row>
    <row r="12" spans="1:256" ht="14.25">
      <c r="A12" s="11">
        <v>12</v>
      </c>
      <c r="B12" s="9">
        <f>ROUND(101.4,1)</f>
        <v>101.4</v>
      </c>
      <c r="C12" s="10">
        <f>ROUND(102.2,1)</f>
        <v>102.2</v>
      </c>
    </row>
    <row r="13" spans="1:256" ht="15">
      <c r="A13" s="11">
        <v>2017</v>
      </c>
      <c r="B13" s="9"/>
      <c r="C13" s="10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15">
      <c r="A14" s="11">
        <v>2</v>
      </c>
      <c r="B14" s="9">
        <f>ROUND(99.8,1)</f>
        <v>99.8</v>
      </c>
      <c r="C14" s="10">
        <f>ROUND(101.1,1)</f>
        <v>101.1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5">
      <c r="A15" s="11">
        <v>3</v>
      </c>
      <c r="B15" s="9">
        <f>ROUND(100.57911031,1)</f>
        <v>100.6</v>
      </c>
      <c r="C15" s="10">
        <f>ROUND(100.95612843,1)</f>
        <v>101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5">
      <c r="A16" s="11">
        <v>4</v>
      </c>
      <c r="B16" s="9">
        <f>ROUND(101,1)</f>
        <v>101</v>
      </c>
      <c r="C16" s="10">
        <f>ROUND(100.95612843,1)</f>
        <v>101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5">
      <c r="A17" s="11">
        <v>5</v>
      </c>
      <c r="B17" s="9">
        <f>ROUND(101.5,1)</f>
        <v>101.5</v>
      </c>
      <c r="C17" s="10">
        <f>ROUND(101.1,1)</f>
        <v>101.1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5">
      <c r="A18" s="11">
        <v>6</v>
      </c>
      <c r="B18" s="9">
        <f>ROUND(101.1,1)</f>
        <v>101.1</v>
      </c>
      <c r="C18" s="10">
        <f>ROUND(101.1,1)</f>
        <v>101.1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5">
      <c r="A19" s="11">
        <v>7</v>
      </c>
      <c r="B19" s="9">
        <f>ROUND(101.62395255,1)</f>
        <v>101.6</v>
      </c>
      <c r="C19" s="10">
        <f>ROUND(101.16440126,1)</f>
        <v>101.2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5">
      <c r="A20" s="12">
        <v>8</v>
      </c>
      <c r="B20" s="9">
        <f>ROUND(101.91687646,1)</f>
        <v>101.9</v>
      </c>
      <c r="C20" s="13">
        <f>ROUND(101.25801138,1)</f>
        <v>101.3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4.25">
      <c r="A21" s="11">
        <v>9</v>
      </c>
      <c r="B21" s="9">
        <f>ROUND(101.03765598,1)</f>
        <v>101</v>
      </c>
      <c r="C21" s="13">
        <f>ROUND(101.23346012,1)</f>
        <v>101.2</v>
      </c>
    </row>
    <row r="22" spans="1:256" ht="14.25">
      <c r="A22" s="11">
        <v>10</v>
      </c>
      <c r="B22" s="9">
        <f>ROUND(101.8,1)</f>
        <v>101.8</v>
      </c>
      <c r="C22" s="13">
        <f>ROUND(101.3,1)</f>
        <v>101.3</v>
      </c>
    </row>
    <row r="23" spans="1:256" ht="14.25">
      <c r="A23" s="11">
        <v>11</v>
      </c>
      <c r="B23" s="9">
        <f>ROUND(101.32934401,1)</f>
        <v>101.3</v>
      </c>
      <c r="C23" s="13">
        <f>ROUND(101.29138171,1)</f>
        <v>101.3</v>
      </c>
    </row>
    <row r="24" spans="1:256" ht="14.25">
      <c r="A24" s="11">
        <v>12</v>
      </c>
      <c r="B24" s="9">
        <f>ROUND(101.93633331,1)</f>
        <v>101.9</v>
      </c>
      <c r="C24" s="13">
        <f>ROUND(101.34501843,1)</f>
        <v>101.3</v>
      </c>
    </row>
    <row r="25" spans="1:256" ht="15">
      <c r="A25" s="14">
        <v>2018</v>
      </c>
      <c r="B25" s="15"/>
      <c r="C25" s="16"/>
    </row>
    <row r="26" spans="1:256" ht="15">
      <c r="A26" s="14">
        <v>1</v>
      </c>
      <c r="B26" s="9">
        <f>ROUND(100.4833835,1)</f>
        <v>100.5</v>
      </c>
      <c r="C26" s="13">
        <f>ROUND(100.4833835,1)</f>
        <v>100.5</v>
      </c>
    </row>
    <row r="27" spans="1:256" ht="15">
      <c r="A27" s="14">
        <v>2</v>
      </c>
      <c r="B27" s="17">
        <f>ROUND(102.58323309,1)</f>
        <v>102.6</v>
      </c>
      <c r="C27" s="18">
        <f>ROUND(101.53370061,1)</f>
        <v>101.5</v>
      </c>
    </row>
    <row r="28" spans="1:256" ht="15">
      <c r="A28" s="14">
        <v>3</v>
      </c>
      <c r="B28" s="9">
        <f>ROUND(101.8,1)</f>
        <v>101.8</v>
      </c>
      <c r="C28" s="18">
        <f>ROUND(101.6,1)</f>
        <v>101.6</v>
      </c>
    </row>
    <row r="29" spans="1:256" ht="15">
      <c r="A29" s="14">
        <v>4</v>
      </c>
      <c r="B29" s="19">
        <f>ROUND(101,1)</f>
        <v>101</v>
      </c>
      <c r="C29" s="20">
        <f>ROUND(101.45789835,1)</f>
        <v>101.5</v>
      </c>
    </row>
    <row r="30" spans="1:256" customFormat="1" ht="14.25">
      <c r="A30" s="14">
        <v>5</v>
      </c>
      <c r="B30" s="19">
        <v>100.63043043</v>
      </c>
      <c r="C30" s="20">
        <v>101.29245659</v>
      </c>
    </row>
    <row r="31" spans="1:256" ht="15">
      <c r="A31" s="21">
        <v>6</v>
      </c>
      <c r="B31" s="22">
        <v>101.2</v>
      </c>
      <c r="C31" s="23">
        <v>101.27416779000001</v>
      </c>
    </row>
  </sheetData>
  <mergeCells count="3">
    <mergeCell ref="A1:C1"/>
    <mergeCell ref="B3:C3"/>
    <mergeCell ref="A3:A4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/>
  </sheetPr>
  <dimension ref="A1:IU22"/>
  <sheetViews>
    <sheetView zoomScale="80" zoomScaleNormal="80" workbookViewId="0">
      <selection activeCell="G11" sqref="G11"/>
    </sheetView>
  </sheetViews>
  <sheetFormatPr defaultColWidth="9" defaultRowHeight="14.25"/>
  <cols>
    <col min="1" max="1" width="28.625" style="785" customWidth="1"/>
    <col min="2" max="2" width="12" style="785" customWidth="1"/>
    <col min="3" max="3" width="10.625" style="785" customWidth="1"/>
    <col min="4" max="4" width="12.125" style="868" customWidth="1"/>
    <col min="5" max="5" width="11.5" style="785" customWidth="1"/>
    <col min="6" max="6" width="9" style="785"/>
    <col min="7" max="7" width="10.5" style="785" customWidth="1"/>
    <col min="8" max="8" width="9.75" style="785" customWidth="1"/>
    <col min="9" max="9" width="11.75" style="785" customWidth="1"/>
    <col min="10" max="255" width="9" style="785"/>
    <col min="256" max="16384" width="9" style="42"/>
  </cols>
  <sheetData>
    <row r="1" spans="1:9" ht="28.5" customHeight="1">
      <c r="A1" s="1066" t="s">
        <v>79</v>
      </c>
      <c r="B1" s="1067"/>
      <c r="C1" s="1067"/>
      <c r="D1" s="1068"/>
      <c r="E1" s="1068"/>
    </row>
    <row r="2" spans="1:9" ht="19.5" customHeight="1">
      <c r="A2" s="827"/>
      <c r="B2" s="827"/>
      <c r="C2" s="827"/>
      <c r="D2" s="1069" t="s">
        <v>37</v>
      </c>
      <c r="E2" s="1070"/>
    </row>
    <row r="3" spans="1:9" ht="35.25" customHeight="1">
      <c r="A3" s="788" t="s">
        <v>38</v>
      </c>
      <c r="B3" s="788" t="s">
        <v>80</v>
      </c>
      <c r="C3" s="829" t="s">
        <v>81</v>
      </c>
      <c r="D3" s="942" t="s">
        <v>82</v>
      </c>
      <c r="E3" s="829" t="s">
        <v>81</v>
      </c>
      <c r="G3" s="872"/>
      <c r="I3" s="872"/>
    </row>
    <row r="4" spans="1:9" ht="24.95" customHeight="1">
      <c r="A4" s="840" t="s">
        <v>83</v>
      </c>
      <c r="B4" s="836">
        <v>156.9033</v>
      </c>
      <c r="C4" s="835">
        <v>3.8</v>
      </c>
      <c r="D4" s="878">
        <v>340.39429999999999</v>
      </c>
      <c r="E4" s="169">
        <v>4.0999999999999996</v>
      </c>
      <c r="G4" s="872"/>
      <c r="I4" s="872"/>
    </row>
    <row r="5" spans="1:9" ht="24.95" customHeight="1">
      <c r="A5" s="943" t="s">
        <v>84</v>
      </c>
      <c r="B5" s="836">
        <v>64.970600000000005</v>
      </c>
      <c r="C5" s="880">
        <v>11</v>
      </c>
      <c r="D5" s="878">
        <v>144.21019999999999</v>
      </c>
      <c r="E5" s="169">
        <v>12.5</v>
      </c>
      <c r="G5" s="872"/>
      <c r="I5" s="872"/>
    </row>
    <row r="6" spans="1:9" ht="24.95" customHeight="1">
      <c r="A6" s="943" t="s">
        <v>85</v>
      </c>
      <c r="B6" s="836">
        <v>91.932699999999997</v>
      </c>
      <c r="C6" s="880">
        <v>-0.6</v>
      </c>
      <c r="D6" s="878">
        <v>196.1841</v>
      </c>
      <c r="E6" s="169">
        <v>-1.1000000000000001</v>
      </c>
      <c r="G6" s="872"/>
      <c r="I6" s="872"/>
    </row>
    <row r="7" spans="1:9" ht="24.95" customHeight="1">
      <c r="A7" s="840" t="s">
        <v>86</v>
      </c>
      <c r="B7" s="836">
        <v>2.7936000000000001</v>
      </c>
      <c r="C7" s="835">
        <v>-5.3</v>
      </c>
      <c r="D7" s="878">
        <v>5.4954999999999998</v>
      </c>
      <c r="E7" s="169">
        <v>-4</v>
      </c>
      <c r="G7" s="872"/>
      <c r="I7" s="872"/>
    </row>
    <row r="8" spans="1:9" ht="24.95" customHeight="1">
      <c r="A8" s="840" t="s">
        <v>87</v>
      </c>
      <c r="B8" s="836">
        <v>2.47E-2</v>
      </c>
      <c r="C8" s="835">
        <v>-43.8</v>
      </c>
      <c r="D8" s="878">
        <v>4.8500000000000001E-2</v>
      </c>
      <c r="E8" s="169">
        <v>-44.4</v>
      </c>
      <c r="F8" s="159"/>
      <c r="G8" s="881"/>
      <c r="I8" s="872"/>
    </row>
    <row r="9" spans="1:9" ht="24.95" customHeight="1">
      <c r="A9" s="840" t="s">
        <v>88</v>
      </c>
      <c r="B9" s="836">
        <v>0</v>
      </c>
      <c r="C9" s="835">
        <v>0</v>
      </c>
      <c r="D9" s="878">
        <v>0</v>
      </c>
      <c r="E9" s="169">
        <v>0</v>
      </c>
      <c r="F9" s="159"/>
      <c r="G9" s="872"/>
      <c r="I9" s="872"/>
    </row>
    <row r="10" spans="1:9" ht="24.95" customHeight="1">
      <c r="A10" s="840" t="s">
        <v>89</v>
      </c>
      <c r="B10" s="836">
        <v>106.2804</v>
      </c>
      <c r="C10" s="835">
        <v>3.7</v>
      </c>
      <c r="D10" s="878">
        <v>231.75409999999999</v>
      </c>
      <c r="E10" s="169">
        <v>5.5</v>
      </c>
      <c r="F10" s="159"/>
      <c r="G10" s="872"/>
      <c r="I10" s="872"/>
    </row>
    <row r="11" spans="1:9" ht="24.95" customHeight="1">
      <c r="A11" s="840" t="s">
        <v>90</v>
      </c>
      <c r="B11" s="836">
        <v>46.307699999999997</v>
      </c>
      <c r="C11" s="835">
        <v>5.4</v>
      </c>
      <c r="D11" s="878">
        <v>98.812200000000004</v>
      </c>
      <c r="E11" s="169">
        <v>1.6</v>
      </c>
      <c r="G11" s="872"/>
      <c r="I11" s="872"/>
    </row>
    <row r="12" spans="1:9" ht="24.95" customHeight="1">
      <c r="A12" s="840" t="s">
        <v>91</v>
      </c>
      <c r="B12" s="836">
        <v>1.4968999999999999</v>
      </c>
      <c r="C12" s="835">
        <v>-13.9</v>
      </c>
      <c r="D12" s="878">
        <v>4.2839999999999998</v>
      </c>
      <c r="E12" s="169">
        <v>8</v>
      </c>
      <c r="G12" s="872"/>
      <c r="I12" s="872"/>
    </row>
    <row r="13" spans="1:9" ht="24.95" customHeight="1">
      <c r="A13" s="840" t="s">
        <v>92</v>
      </c>
      <c r="B13" s="836">
        <v>74.583100000000002</v>
      </c>
      <c r="C13" s="835">
        <v>2.8</v>
      </c>
      <c r="D13" s="878">
        <v>158.83770000000001</v>
      </c>
      <c r="E13" s="169">
        <v>2.2000000000000002</v>
      </c>
      <c r="G13" s="872"/>
      <c r="I13" s="872"/>
    </row>
    <row r="14" spans="1:9" ht="24.95" customHeight="1">
      <c r="A14" s="840" t="s">
        <v>93</v>
      </c>
      <c r="B14" s="836">
        <v>61.58</v>
      </c>
      <c r="C14" s="835">
        <v>5.2</v>
      </c>
      <c r="D14" s="878">
        <v>136.471</v>
      </c>
      <c r="E14" s="169">
        <v>7.4</v>
      </c>
      <c r="G14" s="872"/>
      <c r="I14" s="872"/>
    </row>
    <row r="15" spans="1:9" ht="24.95" customHeight="1">
      <c r="A15" s="840" t="s">
        <v>94</v>
      </c>
      <c r="B15" s="836">
        <v>71.504599999999996</v>
      </c>
      <c r="C15" s="835">
        <v>2.6</v>
      </c>
      <c r="D15" s="878">
        <v>142.75139999999999</v>
      </c>
      <c r="E15" s="169">
        <v>2.9</v>
      </c>
      <c r="G15" s="872"/>
      <c r="I15" s="872"/>
    </row>
    <row r="16" spans="1:9" ht="24.95" customHeight="1">
      <c r="A16" s="840" t="s">
        <v>95</v>
      </c>
      <c r="B16" s="836">
        <v>45.066099999999999</v>
      </c>
      <c r="C16" s="835">
        <v>-1.7</v>
      </c>
      <c r="D16" s="878">
        <v>102.0967</v>
      </c>
      <c r="E16" s="169">
        <v>-3.9</v>
      </c>
      <c r="G16" s="872"/>
      <c r="I16" s="872"/>
    </row>
    <row r="17" spans="1:9" ht="24.95" customHeight="1">
      <c r="A17" s="840" t="s">
        <v>96</v>
      </c>
      <c r="B17" s="836">
        <v>39.033499999999997</v>
      </c>
      <c r="C17" s="835">
        <v>12.6</v>
      </c>
      <c r="D17" s="878">
        <v>91.847099999999998</v>
      </c>
      <c r="E17" s="169">
        <v>15.2</v>
      </c>
      <c r="G17" s="872"/>
      <c r="I17" s="872"/>
    </row>
    <row r="18" spans="1:9" ht="24.95" customHeight="1">
      <c r="A18" s="944" t="s">
        <v>97</v>
      </c>
      <c r="B18" s="945">
        <v>1.2990999999999999</v>
      </c>
      <c r="C18" s="902">
        <v>55.6</v>
      </c>
      <c r="D18" s="946">
        <v>3.6991000000000001</v>
      </c>
      <c r="E18" s="941">
        <v>93.2</v>
      </c>
      <c r="G18" s="872"/>
      <c r="I18" s="872"/>
    </row>
    <row r="19" spans="1:9" ht="24.95" customHeight="1">
      <c r="A19" s="947" t="s">
        <v>98</v>
      </c>
      <c r="B19" s="948">
        <v>7.8094000000000001</v>
      </c>
      <c r="C19" s="902">
        <v>-23.1</v>
      </c>
      <c r="D19" s="946">
        <v>22.2531</v>
      </c>
      <c r="E19" s="949">
        <v>-8.1</v>
      </c>
      <c r="G19" s="872"/>
      <c r="I19" s="872"/>
    </row>
    <row r="20" spans="1:9" ht="31.5" customHeight="1">
      <c r="A20" s="828"/>
      <c r="B20" s="1071" t="s">
        <v>99</v>
      </c>
      <c r="C20" s="1072"/>
      <c r="D20" s="950" t="s">
        <v>100</v>
      </c>
      <c r="E20" s="951" t="s">
        <v>101</v>
      </c>
      <c r="G20" s="872"/>
      <c r="I20" s="872"/>
    </row>
    <row r="21" spans="1:9" ht="24.95" customHeight="1">
      <c r="A21" s="952" t="s">
        <v>102</v>
      </c>
      <c r="B21" s="1073">
        <v>323.1035</v>
      </c>
      <c r="C21" s="1074"/>
      <c r="D21" s="953">
        <v>94.9</v>
      </c>
      <c r="E21" s="954">
        <v>-0.8</v>
      </c>
      <c r="G21" s="872"/>
      <c r="I21" s="872"/>
    </row>
    <row r="22" spans="1:9" ht="20.100000000000001" customHeight="1">
      <c r="A22" s="1075" t="s">
        <v>103</v>
      </c>
      <c r="B22" s="1075"/>
      <c r="C22" s="1075"/>
      <c r="D22" s="1075"/>
      <c r="E22" s="1075"/>
    </row>
  </sheetData>
  <sheetProtection password="DC9E" sheet="1" objects="1" scenarios="1"/>
  <mergeCells count="5">
    <mergeCell ref="A1:E1"/>
    <mergeCell ref="D2:E2"/>
    <mergeCell ref="B20:C20"/>
    <mergeCell ref="B21:C21"/>
    <mergeCell ref="A22:E22"/>
  </mergeCells>
  <phoneticPr fontId="11" type="noConversion"/>
  <printOptions horizontalCentered="1"/>
  <pageMargins left="0.55000000000000004" right="0.55000000000000004" top="0.58888888888888902" bottom="0.58888888888888902" header="0.50902777777777797" footer="0.50902777777777797"/>
  <pageSetup paperSize="9" orientation="portrait" blackAndWhite="1" horizontalDpi="200" verticalDpi="300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/>
  </sheetPr>
  <dimension ref="A1:H256"/>
  <sheetViews>
    <sheetView zoomScale="90" zoomScaleNormal="90" workbookViewId="0">
      <selection activeCell="G15" sqref="G15"/>
    </sheetView>
  </sheetViews>
  <sheetFormatPr defaultColWidth="9" defaultRowHeight="14.25"/>
  <cols>
    <col min="1" max="1" width="28.625" style="785" customWidth="1"/>
    <col min="2" max="2" width="12" style="785" customWidth="1"/>
    <col min="3" max="3" width="10.625" style="785" customWidth="1"/>
    <col min="4" max="4" width="12.125" style="868" customWidth="1"/>
    <col min="5" max="5" width="11.5" style="785" customWidth="1"/>
    <col min="6" max="6" width="9" style="785"/>
    <col min="7" max="7" width="10.5" style="785" customWidth="1"/>
    <col min="8" max="8" width="9.75" style="785" customWidth="1"/>
    <col min="9" max="9" width="11.75" style="785" customWidth="1"/>
    <col min="10" max="16384" width="9" style="785"/>
  </cols>
  <sheetData>
    <row r="1" spans="1:8" s="42" customFormat="1" ht="28.5" customHeight="1">
      <c r="A1" s="1066" t="s">
        <v>104</v>
      </c>
      <c r="B1" s="1067"/>
      <c r="C1" s="1067"/>
      <c r="D1" s="1068"/>
      <c r="E1" s="1068"/>
    </row>
    <row r="2" spans="1:8" s="42" customFormat="1" ht="19.5" customHeight="1">
      <c r="A2" s="884"/>
      <c r="B2" s="884"/>
      <c r="C2" s="884"/>
      <c r="D2" s="1076" t="s">
        <v>37</v>
      </c>
      <c r="E2" s="1076"/>
    </row>
    <row r="3" spans="1:8" s="42" customFormat="1" ht="35.25" customHeight="1">
      <c r="A3" s="885" t="s">
        <v>38</v>
      </c>
      <c r="B3" s="788" t="s">
        <v>80</v>
      </c>
      <c r="C3" s="829" t="s">
        <v>81</v>
      </c>
      <c r="D3" s="927" t="s">
        <v>82</v>
      </c>
      <c r="E3" s="829" t="s">
        <v>81</v>
      </c>
      <c r="H3" s="889"/>
    </row>
    <row r="4" spans="1:8" s="42" customFormat="1" ht="24.95" customHeight="1">
      <c r="A4" s="928" t="s">
        <v>105</v>
      </c>
      <c r="B4" s="929">
        <v>50.156100000000002</v>
      </c>
      <c r="C4" s="930">
        <v>3.9</v>
      </c>
      <c r="D4" s="929">
        <v>108.2115</v>
      </c>
      <c r="E4" s="931">
        <v>3.7</v>
      </c>
      <c r="H4" s="932"/>
    </row>
    <row r="5" spans="1:8" s="42" customFormat="1" ht="24.95" customHeight="1">
      <c r="A5" s="928" t="s">
        <v>84</v>
      </c>
      <c r="B5" s="933">
        <v>14.6165</v>
      </c>
      <c r="C5" s="934">
        <v>11</v>
      </c>
      <c r="D5" s="933">
        <v>33.1526</v>
      </c>
      <c r="E5" s="169">
        <v>13.9</v>
      </c>
      <c r="H5" s="932"/>
    </row>
    <row r="6" spans="1:8" s="42" customFormat="1" ht="24.95" customHeight="1">
      <c r="A6" s="935" t="s">
        <v>85</v>
      </c>
      <c r="B6" s="933">
        <v>35.5396</v>
      </c>
      <c r="C6" s="934">
        <v>1.4</v>
      </c>
      <c r="D6" s="933">
        <v>75.058800000000005</v>
      </c>
      <c r="E6" s="169">
        <v>-0.5</v>
      </c>
      <c r="H6" s="932"/>
    </row>
    <row r="7" spans="1:8" s="42" customFormat="1" ht="24.95" customHeight="1">
      <c r="A7" s="935" t="s">
        <v>86</v>
      </c>
      <c r="B7" s="933">
        <v>0.60529999999999995</v>
      </c>
      <c r="C7" s="934">
        <v>-3.3</v>
      </c>
      <c r="D7" s="933">
        <v>1.2010000000000001</v>
      </c>
      <c r="E7" s="169">
        <v>-1.8</v>
      </c>
      <c r="H7" s="932"/>
    </row>
    <row r="8" spans="1:8" s="42" customFormat="1" ht="24.95" customHeight="1">
      <c r="A8" s="935" t="s">
        <v>87</v>
      </c>
      <c r="B8" s="933">
        <v>1.04E-2</v>
      </c>
      <c r="C8" s="934">
        <v>-42.8</v>
      </c>
      <c r="D8" s="933">
        <v>2.0400000000000001E-2</v>
      </c>
      <c r="E8" s="169">
        <v>-42.9</v>
      </c>
      <c r="H8" s="932"/>
    </row>
    <row r="9" spans="1:8" s="42" customFormat="1" ht="24.95" customHeight="1">
      <c r="A9" s="935" t="s">
        <v>88</v>
      </c>
      <c r="B9" s="933">
        <v>0</v>
      </c>
      <c r="C9" s="936">
        <v>-100</v>
      </c>
      <c r="D9" s="933">
        <v>0</v>
      </c>
      <c r="E9" s="169">
        <v>-100</v>
      </c>
      <c r="H9" s="932"/>
    </row>
    <row r="10" spans="1:8" s="42" customFormat="1" ht="24.95" customHeight="1">
      <c r="A10" s="935" t="s">
        <v>89</v>
      </c>
      <c r="B10" s="933">
        <v>23.515499999999999</v>
      </c>
      <c r="C10" s="936">
        <v>4.8</v>
      </c>
      <c r="D10" s="933">
        <v>52.712800000000001</v>
      </c>
      <c r="E10" s="169">
        <v>7.9</v>
      </c>
      <c r="H10" s="932"/>
    </row>
    <row r="11" spans="1:8" s="42" customFormat="1" ht="24.95" customHeight="1">
      <c r="A11" s="935" t="s">
        <v>90</v>
      </c>
      <c r="B11" s="933">
        <v>25.673500000000001</v>
      </c>
      <c r="C11" s="936">
        <v>3.6</v>
      </c>
      <c r="D11" s="933">
        <v>53.333300000000001</v>
      </c>
      <c r="E11" s="169">
        <v>-0.5</v>
      </c>
      <c r="H11" s="932"/>
    </row>
    <row r="12" spans="1:8" s="42" customFormat="1" ht="24.95" customHeight="1">
      <c r="A12" s="935" t="s">
        <v>91</v>
      </c>
      <c r="B12" s="933">
        <v>0.3513</v>
      </c>
      <c r="C12" s="937">
        <v>-6.9</v>
      </c>
      <c r="D12" s="933">
        <v>0.94389999999999996</v>
      </c>
      <c r="E12" s="169">
        <v>12.9</v>
      </c>
      <c r="H12" s="932"/>
    </row>
    <row r="13" spans="1:8" s="42" customFormat="1" ht="24.95" customHeight="1">
      <c r="A13" s="935" t="s">
        <v>92</v>
      </c>
      <c r="B13" s="933">
        <v>21.626300000000001</v>
      </c>
      <c r="C13" s="937">
        <v>3.3</v>
      </c>
      <c r="D13" s="933">
        <v>47.640599999999999</v>
      </c>
      <c r="E13" s="169">
        <v>2.9</v>
      </c>
      <c r="H13" s="932"/>
    </row>
    <row r="14" spans="1:8" s="42" customFormat="1" ht="24.95" customHeight="1">
      <c r="A14" s="935" t="s">
        <v>93</v>
      </c>
      <c r="B14" s="933">
        <v>14.2874</v>
      </c>
      <c r="C14" s="937">
        <v>7.5</v>
      </c>
      <c r="D14" s="933">
        <v>30.633900000000001</v>
      </c>
      <c r="E14" s="169">
        <v>8.9</v>
      </c>
      <c r="H14" s="932"/>
    </row>
    <row r="15" spans="1:8" s="42" customFormat="1" ht="24.95" customHeight="1">
      <c r="A15" s="935" t="s">
        <v>94</v>
      </c>
      <c r="B15" s="933">
        <v>25.596399999999999</v>
      </c>
      <c r="C15" s="937">
        <v>3.3</v>
      </c>
      <c r="D15" s="933">
        <v>52.8917</v>
      </c>
      <c r="E15" s="169">
        <v>3.5</v>
      </c>
      <c r="H15" s="932"/>
    </row>
    <row r="16" spans="1:8" s="42" customFormat="1" ht="24.95" customHeight="1">
      <c r="A16" s="935" t="s">
        <v>95</v>
      </c>
      <c r="B16" s="933">
        <v>15.155900000000001</v>
      </c>
      <c r="C16" s="937">
        <v>1.4</v>
      </c>
      <c r="D16" s="933">
        <v>32.917000000000002</v>
      </c>
      <c r="E16" s="169">
        <v>-2.8</v>
      </c>
      <c r="H16" s="932"/>
    </row>
    <row r="17" spans="1:8" s="42" customFormat="1" ht="24.95" customHeight="1">
      <c r="A17" s="935" t="s">
        <v>96</v>
      </c>
      <c r="B17" s="933">
        <v>9.0427999999999997</v>
      </c>
      <c r="C17" s="937">
        <v>9.1</v>
      </c>
      <c r="D17" s="933">
        <v>21.409800000000001</v>
      </c>
      <c r="E17" s="169">
        <v>12.1</v>
      </c>
      <c r="H17" s="932"/>
    </row>
    <row r="18" spans="1:8" s="42" customFormat="1" ht="24.95" customHeight="1">
      <c r="A18" s="938" t="s">
        <v>97</v>
      </c>
      <c r="B18" s="939">
        <v>0.36099999999999999</v>
      </c>
      <c r="C18" s="940">
        <v>58.3</v>
      </c>
      <c r="D18" s="939">
        <v>0.99299999999999999</v>
      </c>
      <c r="E18" s="941">
        <v>88.9</v>
      </c>
      <c r="H18" s="932"/>
    </row>
    <row r="19" spans="1:8" s="42" customFormat="1" ht="20.100000000000001" customHeight="1">
      <c r="A19" s="1077"/>
      <c r="B19" s="1077"/>
      <c r="C19" s="1077"/>
      <c r="D19" s="1077"/>
      <c r="E19" s="1077"/>
      <c r="H19" s="932"/>
    </row>
    <row r="20" spans="1:8" s="42" customFormat="1">
      <c r="H20" s="932"/>
    </row>
    <row r="21" spans="1:8" s="42" customFormat="1">
      <c r="H21" s="932"/>
    </row>
    <row r="22" spans="1:8" s="42" customFormat="1">
      <c r="H22" s="932"/>
    </row>
    <row r="23" spans="1:8" s="42" customFormat="1">
      <c r="H23" s="932"/>
    </row>
    <row r="24" spans="1:8" s="42" customFormat="1">
      <c r="H24" s="932"/>
    </row>
    <row r="25" spans="1:8" s="42" customFormat="1"/>
    <row r="26" spans="1:8" s="42" customFormat="1"/>
    <row r="27" spans="1:8" s="42" customFormat="1"/>
    <row r="28" spans="1:8" s="42" customFormat="1"/>
    <row r="29" spans="1:8" s="42" customFormat="1"/>
    <row r="30" spans="1:8" s="42" customFormat="1"/>
    <row r="31" spans="1:8" s="42" customFormat="1"/>
    <row r="32" spans="1:8" s="42" customFormat="1"/>
    <row r="33" s="42" customFormat="1"/>
    <row r="34" s="42" customFormat="1"/>
    <row r="35" s="42" customFormat="1"/>
    <row r="36" s="42" customFormat="1"/>
    <row r="37" s="42" customFormat="1"/>
    <row r="38" s="42" customFormat="1"/>
    <row r="39" s="42" customFormat="1"/>
    <row r="40" s="42" customFormat="1"/>
    <row r="41" s="42" customFormat="1"/>
    <row r="42" s="42" customFormat="1"/>
    <row r="43" s="42" customFormat="1"/>
    <row r="44" s="42" customFormat="1"/>
    <row r="45" s="42" customFormat="1"/>
    <row r="46" s="42" customFormat="1"/>
    <row r="47" s="42" customFormat="1"/>
    <row r="48" s="42" customFormat="1"/>
    <row r="49" s="42" customFormat="1"/>
    <row r="50" s="42" customFormat="1"/>
    <row r="51" s="42" customFormat="1"/>
    <row r="52" s="42" customFormat="1"/>
    <row r="53" s="42" customFormat="1"/>
    <row r="54" s="42" customFormat="1"/>
    <row r="55" s="42" customFormat="1"/>
    <row r="56" s="42" customFormat="1"/>
    <row r="57" s="42" customFormat="1"/>
    <row r="58" s="42" customFormat="1"/>
    <row r="59" s="42" customFormat="1"/>
    <row r="60" s="42" customFormat="1"/>
    <row r="61" s="42" customFormat="1"/>
    <row r="62" s="42" customFormat="1"/>
    <row r="63" s="42" customFormat="1"/>
    <row r="64" s="42" customFormat="1"/>
    <row r="65" s="42" customFormat="1"/>
    <row r="66" s="42" customFormat="1"/>
    <row r="67" s="42" customFormat="1"/>
    <row r="68" s="42" customFormat="1"/>
    <row r="69" s="42" customFormat="1"/>
    <row r="70" s="42" customFormat="1"/>
    <row r="71" s="42" customFormat="1"/>
    <row r="72" s="42" customFormat="1"/>
    <row r="73" s="42" customFormat="1"/>
    <row r="74" s="42" customFormat="1"/>
    <row r="75" s="42" customFormat="1"/>
    <row r="76" s="42" customFormat="1"/>
    <row r="77" s="42" customFormat="1"/>
    <row r="78" s="42" customFormat="1"/>
    <row r="79" s="42" customFormat="1"/>
    <row r="80" s="42" customFormat="1"/>
    <row r="81" s="42" customFormat="1"/>
    <row r="82" s="42" customFormat="1"/>
    <row r="83" s="42" customFormat="1"/>
    <row r="84" s="42" customFormat="1"/>
    <row r="85" s="42" customFormat="1"/>
    <row r="86" s="42" customFormat="1"/>
    <row r="87" s="42" customFormat="1"/>
    <row r="88" s="42" customFormat="1"/>
    <row r="89" s="42" customFormat="1"/>
    <row r="90" s="42" customFormat="1"/>
    <row r="91" s="42" customFormat="1"/>
    <row r="92" s="42" customFormat="1"/>
    <row r="93" s="42" customFormat="1"/>
    <row r="94" s="42" customFormat="1"/>
    <row r="95" s="42" customFormat="1"/>
    <row r="96" s="42" customFormat="1"/>
    <row r="97" s="42" customFormat="1"/>
    <row r="98" s="42" customFormat="1"/>
    <row r="99" s="42" customFormat="1"/>
    <row r="100" s="42" customFormat="1"/>
    <row r="101" s="42" customFormat="1"/>
    <row r="102" s="42" customFormat="1"/>
    <row r="103" s="42" customFormat="1"/>
    <row r="104" s="42" customFormat="1"/>
    <row r="105" s="42" customFormat="1"/>
    <row r="106" s="42" customFormat="1"/>
    <row r="107" s="42" customFormat="1"/>
    <row r="108" s="42" customFormat="1"/>
    <row r="109" s="42" customFormat="1"/>
    <row r="110" s="42" customFormat="1"/>
    <row r="111" s="42" customFormat="1"/>
    <row r="112" s="42" customFormat="1"/>
    <row r="113" s="42" customFormat="1"/>
    <row r="114" s="42" customFormat="1"/>
    <row r="115" s="42" customFormat="1"/>
    <row r="116" s="42" customFormat="1"/>
    <row r="117" s="42" customFormat="1"/>
    <row r="118" s="42" customFormat="1"/>
    <row r="119" s="42" customFormat="1"/>
    <row r="120" s="42" customFormat="1"/>
    <row r="121" s="42" customFormat="1"/>
    <row r="122" s="42" customFormat="1"/>
    <row r="123" s="42" customFormat="1"/>
    <row r="124" s="42" customFormat="1"/>
    <row r="125" s="42" customFormat="1"/>
    <row r="126" s="42" customFormat="1"/>
    <row r="127" s="42" customFormat="1"/>
    <row r="128" s="42" customFormat="1"/>
    <row r="129" s="42" customFormat="1"/>
    <row r="130" s="42" customFormat="1"/>
    <row r="131" s="42" customFormat="1"/>
    <row r="132" s="42" customFormat="1"/>
    <row r="133" s="42" customFormat="1"/>
    <row r="134" s="42" customFormat="1"/>
    <row r="135" s="42" customFormat="1"/>
    <row r="136" s="42" customFormat="1"/>
    <row r="137" s="42" customFormat="1"/>
    <row r="138" s="42" customFormat="1"/>
    <row r="139" s="42" customFormat="1"/>
    <row r="140" s="42" customFormat="1"/>
    <row r="141" s="42" customFormat="1"/>
    <row r="142" s="42" customFormat="1"/>
    <row r="143" s="42" customFormat="1"/>
    <row r="144" s="42" customFormat="1"/>
    <row r="145" s="42" customFormat="1"/>
    <row r="146" s="42" customFormat="1"/>
    <row r="147" s="42" customFormat="1"/>
    <row r="148" s="42" customFormat="1"/>
    <row r="149" s="42" customFormat="1"/>
    <row r="150" s="42" customFormat="1"/>
    <row r="151" s="42" customFormat="1"/>
    <row r="152" s="42" customFormat="1"/>
    <row r="153" s="42" customFormat="1"/>
    <row r="154" s="42" customFormat="1"/>
    <row r="155" s="42" customFormat="1"/>
    <row r="156" s="42" customFormat="1"/>
    <row r="157" s="42" customFormat="1"/>
    <row r="158" s="42" customFormat="1"/>
    <row r="159" s="42" customFormat="1"/>
    <row r="160" s="42" customFormat="1"/>
    <row r="161" s="42" customFormat="1"/>
    <row r="162" s="42" customFormat="1"/>
    <row r="163" s="42" customFormat="1"/>
    <row r="164" s="42" customFormat="1"/>
    <row r="165" s="42" customFormat="1"/>
    <row r="166" s="42" customFormat="1"/>
    <row r="167" s="42" customFormat="1"/>
    <row r="168" s="42" customFormat="1"/>
    <row r="169" s="42" customFormat="1"/>
    <row r="170" s="42" customFormat="1"/>
    <row r="171" s="42" customFormat="1"/>
    <row r="172" s="42" customFormat="1"/>
    <row r="173" s="42" customFormat="1"/>
    <row r="174" s="42" customFormat="1"/>
    <row r="175" s="42" customFormat="1"/>
    <row r="176" s="42" customFormat="1"/>
    <row r="177" s="42" customFormat="1"/>
    <row r="178" s="42" customFormat="1"/>
    <row r="179" s="42" customFormat="1"/>
    <row r="180" s="42" customFormat="1"/>
    <row r="181" s="42" customFormat="1"/>
    <row r="182" s="42" customFormat="1"/>
    <row r="183" s="42" customFormat="1"/>
    <row r="184" s="42" customFormat="1"/>
    <row r="185" s="42" customFormat="1"/>
    <row r="186" s="42" customFormat="1"/>
    <row r="187" s="42" customFormat="1"/>
    <row r="188" s="42" customFormat="1"/>
    <row r="189" s="42" customFormat="1"/>
    <row r="190" s="42" customFormat="1"/>
    <row r="191" s="42" customFormat="1"/>
    <row r="192" s="42" customFormat="1"/>
    <row r="193" s="42" customFormat="1"/>
    <row r="194" s="42" customFormat="1"/>
    <row r="195" s="42" customFormat="1"/>
    <row r="196" s="42" customFormat="1"/>
    <row r="197" s="42" customFormat="1"/>
    <row r="198" s="42" customFormat="1"/>
    <row r="199" s="42" customFormat="1"/>
    <row r="200" s="42" customFormat="1"/>
    <row r="201" s="42" customFormat="1"/>
    <row r="202" s="42" customFormat="1"/>
    <row r="203" s="42" customFormat="1"/>
    <row r="204" s="42" customFormat="1"/>
    <row r="205" s="42" customFormat="1"/>
    <row r="206" s="42" customFormat="1"/>
    <row r="207" s="42" customFormat="1"/>
    <row r="208" s="42" customFormat="1"/>
    <row r="209" s="42" customFormat="1"/>
    <row r="210" s="42" customFormat="1"/>
    <row r="211" s="42" customFormat="1"/>
    <row r="212" s="42" customFormat="1"/>
    <row r="213" s="42" customFormat="1"/>
    <row r="214" s="42" customFormat="1"/>
    <row r="215" s="42" customFormat="1"/>
    <row r="216" s="42" customFormat="1"/>
    <row r="217" s="42" customFormat="1"/>
    <row r="218" s="42" customFormat="1"/>
    <row r="219" s="42" customFormat="1"/>
    <row r="220" s="42" customFormat="1"/>
    <row r="221" s="42" customFormat="1"/>
    <row r="222" s="42" customFormat="1"/>
    <row r="223" s="42" customFormat="1"/>
    <row r="224" s="42" customFormat="1"/>
    <row r="225" s="42" customFormat="1"/>
    <row r="226" s="42" customFormat="1"/>
    <row r="227" s="42" customFormat="1"/>
    <row r="228" s="42" customFormat="1"/>
    <row r="229" s="42" customFormat="1"/>
    <row r="230" s="42" customFormat="1"/>
    <row r="231" s="42" customFormat="1"/>
    <row r="232" s="42" customFormat="1"/>
    <row r="233" s="42" customFormat="1"/>
    <row r="234" s="42" customFormat="1"/>
    <row r="235" s="42" customFormat="1"/>
    <row r="236" s="42" customFormat="1"/>
    <row r="237" s="42" customFormat="1"/>
    <row r="238" s="42" customFormat="1"/>
    <row r="239" s="42" customFormat="1"/>
    <row r="240" s="42" customFormat="1"/>
    <row r="241" s="42" customFormat="1"/>
    <row r="242" s="42" customFormat="1"/>
    <row r="243" s="42" customFormat="1"/>
    <row r="244" s="42" customFormat="1"/>
    <row r="245" s="42" customFormat="1"/>
    <row r="246" s="42" customFormat="1"/>
    <row r="247" s="42" customFormat="1"/>
    <row r="248" s="42" customFormat="1"/>
    <row r="249" s="42" customFormat="1"/>
    <row r="250" s="42" customFormat="1"/>
    <row r="251" s="42" customFormat="1"/>
    <row r="252" s="42" customFormat="1"/>
    <row r="253" s="42" customFormat="1"/>
    <row r="254" s="42" customFormat="1"/>
    <row r="255" s="42" customFormat="1"/>
    <row r="256" s="42" customFormat="1"/>
  </sheetData>
  <sheetProtection password="DC9E" sheet="1" objects="1" scenarios="1"/>
  <mergeCells count="3">
    <mergeCell ref="A1:E1"/>
    <mergeCell ref="D2:E2"/>
    <mergeCell ref="A19:E19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/>
  </sheetPr>
  <dimension ref="A1:D256"/>
  <sheetViews>
    <sheetView topLeftCell="A4" zoomScale="80" zoomScaleNormal="80" workbookViewId="0">
      <selection activeCell="F24" sqref="F24"/>
    </sheetView>
  </sheetViews>
  <sheetFormatPr defaultColWidth="9" defaultRowHeight="14.25"/>
  <cols>
    <col min="1" max="1" width="36" style="906" customWidth="1"/>
    <col min="2" max="2" width="11.125" style="907" customWidth="1"/>
    <col min="3" max="4" width="14.625" style="906" customWidth="1"/>
    <col min="5" max="5" width="9" style="541"/>
    <col min="6" max="6" width="12.625" style="541"/>
    <col min="7" max="16384" width="9" style="541"/>
  </cols>
  <sheetData>
    <row r="1" spans="1:4">
      <c r="A1" s="541"/>
      <c r="B1" s="541"/>
      <c r="C1" s="541"/>
      <c r="D1" s="541"/>
    </row>
    <row r="2" spans="1:4" ht="27" customHeight="1">
      <c r="A2" s="1078" t="s">
        <v>106</v>
      </c>
      <c r="B2" s="1079"/>
      <c r="C2" s="1079"/>
      <c r="D2" s="1080"/>
    </row>
    <row r="3" spans="1:4" ht="11.25" customHeight="1">
      <c r="A3" s="908"/>
      <c r="B3" s="908"/>
      <c r="C3" s="909"/>
      <c r="D3" s="908"/>
    </row>
    <row r="4" spans="1:4" s="905" customFormat="1" ht="35.25" customHeight="1">
      <c r="A4" s="910" t="s">
        <v>38</v>
      </c>
      <c r="B4" s="911" t="s">
        <v>107</v>
      </c>
      <c r="C4" s="912" t="s">
        <v>34</v>
      </c>
      <c r="D4" s="913" t="s">
        <v>5</v>
      </c>
    </row>
    <row r="5" spans="1:4" ht="24.95" customHeight="1">
      <c r="A5" s="914" t="s">
        <v>108</v>
      </c>
      <c r="B5" s="915" t="s">
        <v>109</v>
      </c>
      <c r="C5" s="916">
        <v>891</v>
      </c>
      <c r="D5" s="917">
        <v>1.8</v>
      </c>
    </row>
    <row r="6" spans="1:4" ht="24.95" customHeight="1">
      <c r="A6" s="914" t="s">
        <v>110</v>
      </c>
      <c r="B6" s="915" t="s">
        <v>109</v>
      </c>
      <c r="C6" s="916">
        <v>132</v>
      </c>
      <c r="D6" s="917">
        <v>5.6</v>
      </c>
    </row>
    <row r="7" spans="1:4" ht="24.95" customHeight="1">
      <c r="A7" s="914" t="s">
        <v>111</v>
      </c>
      <c r="B7" s="915" t="s">
        <v>7</v>
      </c>
      <c r="C7" s="918">
        <v>20.055</v>
      </c>
      <c r="D7" s="917">
        <v>60</v>
      </c>
    </row>
    <row r="8" spans="1:4" ht="24.95" customHeight="1">
      <c r="A8" s="914" t="s">
        <v>112</v>
      </c>
      <c r="B8" s="915" t="s">
        <v>7</v>
      </c>
      <c r="C8" s="918">
        <v>2392.7390999999998</v>
      </c>
      <c r="D8" s="917">
        <v>7</v>
      </c>
    </row>
    <row r="9" spans="1:4" ht="24.95" customHeight="1">
      <c r="A9" s="914" t="s">
        <v>113</v>
      </c>
      <c r="B9" s="915" t="s">
        <v>7</v>
      </c>
      <c r="C9" s="918">
        <v>422.2561</v>
      </c>
      <c r="D9" s="917">
        <v>24.6</v>
      </c>
    </row>
    <row r="10" spans="1:4" ht="24.95" customHeight="1">
      <c r="A10" s="914" t="s">
        <v>114</v>
      </c>
      <c r="B10" s="915" t="s">
        <v>7</v>
      </c>
      <c r="C10" s="918">
        <v>232.6002</v>
      </c>
      <c r="D10" s="917">
        <v>39.700000000000003</v>
      </c>
    </row>
    <row r="11" spans="1:4" ht="24.95" customHeight="1">
      <c r="A11" s="914" t="s">
        <v>115</v>
      </c>
      <c r="B11" s="915" t="s">
        <v>7</v>
      </c>
      <c r="C11" s="918">
        <v>2630.6758</v>
      </c>
      <c r="D11" s="917">
        <v>3.3</v>
      </c>
    </row>
    <row r="12" spans="1:4" ht="24.95" customHeight="1">
      <c r="A12" s="914" t="s">
        <v>116</v>
      </c>
      <c r="B12" s="915" t="s">
        <v>7</v>
      </c>
      <c r="C12" s="918">
        <v>1734.0744999999999</v>
      </c>
      <c r="D12" s="917">
        <v>-2.7</v>
      </c>
    </row>
    <row r="13" spans="1:4" ht="24.95" customHeight="1">
      <c r="A13" s="914" t="s">
        <v>117</v>
      </c>
      <c r="B13" s="915" t="s">
        <v>7</v>
      </c>
      <c r="C13" s="918">
        <v>161.10509999999999</v>
      </c>
      <c r="D13" s="917">
        <v>-6.8</v>
      </c>
    </row>
    <row r="14" spans="1:4" ht="24.95" customHeight="1">
      <c r="A14" s="914" t="s">
        <v>118</v>
      </c>
      <c r="B14" s="915" t="s">
        <v>7</v>
      </c>
      <c r="C14" s="918">
        <v>80.130600000000001</v>
      </c>
      <c r="D14" s="917">
        <v>-7.7</v>
      </c>
    </row>
    <row r="15" spans="1:4" ht="24.95" customHeight="1">
      <c r="A15" s="914" t="s">
        <v>119</v>
      </c>
      <c r="B15" s="915" t="s">
        <v>7</v>
      </c>
      <c r="C15" s="918">
        <v>33.183900000000001</v>
      </c>
      <c r="D15" s="917">
        <v>13.9</v>
      </c>
    </row>
    <row r="16" spans="1:4" ht="24.95" customHeight="1">
      <c r="A16" s="914" t="s">
        <v>120</v>
      </c>
      <c r="B16" s="915" t="s">
        <v>121</v>
      </c>
      <c r="C16" s="918">
        <v>12.3979</v>
      </c>
      <c r="D16" s="917">
        <v>-7.9</v>
      </c>
    </row>
    <row r="17" spans="1:4" ht="24.95" customHeight="1">
      <c r="A17" s="919" t="s">
        <v>122</v>
      </c>
      <c r="B17" s="915" t="s">
        <v>28</v>
      </c>
      <c r="C17" s="920">
        <v>514.77</v>
      </c>
      <c r="D17" s="921">
        <v>89.2</v>
      </c>
    </row>
    <row r="18" spans="1:4" ht="24.95" customHeight="1">
      <c r="A18" s="914" t="s">
        <v>123</v>
      </c>
      <c r="B18" s="915" t="s">
        <v>28</v>
      </c>
      <c r="C18" s="920">
        <v>17.46</v>
      </c>
      <c r="D18" s="921">
        <v>2.8</v>
      </c>
    </row>
    <row r="19" spans="1:4" ht="24.95" customHeight="1">
      <c r="A19" s="914" t="s">
        <v>124</v>
      </c>
      <c r="B19" s="915" t="s">
        <v>28</v>
      </c>
      <c r="C19" s="920">
        <v>117.35</v>
      </c>
      <c r="D19" s="921">
        <v>-2.6</v>
      </c>
    </row>
    <row r="20" spans="1:4" ht="24.95" customHeight="1">
      <c r="A20" s="914" t="s">
        <v>125</v>
      </c>
      <c r="B20" s="922" t="s">
        <v>28</v>
      </c>
      <c r="C20" s="920">
        <v>65.92</v>
      </c>
      <c r="D20" s="921">
        <v>-4.0999999999999996</v>
      </c>
    </row>
    <row r="21" spans="1:4" ht="24.95" customHeight="1">
      <c r="A21" s="914" t="s">
        <v>126</v>
      </c>
      <c r="B21" s="915" t="s">
        <v>127</v>
      </c>
      <c r="C21" s="920">
        <v>2.37</v>
      </c>
      <c r="D21" s="921">
        <v>0</v>
      </c>
    </row>
    <row r="22" spans="1:4" ht="24.95" customHeight="1">
      <c r="A22" s="914" t="s">
        <v>128</v>
      </c>
      <c r="B22" s="915" t="s">
        <v>28</v>
      </c>
      <c r="C22" s="920">
        <v>11.44</v>
      </c>
      <c r="D22" s="921">
        <v>2.9</v>
      </c>
    </row>
    <row r="23" spans="1:4" ht="24.95" customHeight="1">
      <c r="A23" s="914" t="s">
        <v>129</v>
      </c>
      <c r="B23" s="915" t="s">
        <v>130</v>
      </c>
      <c r="C23" s="918">
        <v>62.104640000000003</v>
      </c>
      <c r="D23" s="917">
        <v>23.7</v>
      </c>
    </row>
    <row r="24" spans="1:4" ht="24.95" customHeight="1">
      <c r="A24" s="923" t="s">
        <v>131</v>
      </c>
      <c r="B24" s="924" t="s">
        <v>28</v>
      </c>
      <c r="C24" s="925">
        <v>98.58</v>
      </c>
      <c r="D24" s="926">
        <v>0.2</v>
      </c>
    </row>
    <row r="25" spans="1:4">
      <c r="A25" s="541"/>
      <c r="B25" s="541"/>
      <c r="C25" s="541"/>
      <c r="D25" s="541"/>
    </row>
    <row r="26" spans="1:4">
      <c r="A26" s="541"/>
      <c r="B26" s="541"/>
      <c r="C26" s="541"/>
      <c r="D26" s="541"/>
    </row>
    <row r="27" spans="1:4">
      <c r="A27" s="541"/>
      <c r="B27" s="541"/>
      <c r="C27" s="541"/>
      <c r="D27" s="541"/>
    </row>
    <row r="28" spans="1:4">
      <c r="A28" s="541"/>
      <c r="B28" s="541"/>
      <c r="C28" s="541"/>
      <c r="D28" s="541"/>
    </row>
    <row r="29" spans="1:4">
      <c r="A29" s="541"/>
      <c r="B29" s="541"/>
      <c r="C29" s="541"/>
      <c r="D29" s="541"/>
    </row>
    <row r="30" spans="1:4">
      <c r="A30" s="541"/>
      <c r="B30" s="541"/>
      <c r="C30" s="541"/>
      <c r="D30" s="541"/>
    </row>
    <row r="31" spans="1:4">
      <c r="A31" s="541"/>
      <c r="B31" s="541"/>
      <c r="C31" s="541"/>
      <c r="D31" s="541"/>
    </row>
    <row r="32" spans="1:4">
      <c r="A32" s="541"/>
      <c r="B32" s="541"/>
      <c r="C32" s="541"/>
      <c r="D32" s="541"/>
    </row>
    <row r="33" spans="1:4">
      <c r="A33" s="541"/>
      <c r="B33" s="541"/>
      <c r="C33" s="541"/>
      <c r="D33" s="541"/>
    </row>
    <row r="34" spans="1:4">
      <c r="A34" s="541"/>
      <c r="B34" s="541"/>
      <c r="C34" s="541"/>
      <c r="D34" s="541"/>
    </row>
    <row r="35" spans="1:4">
      <c r="A35" s="541"/>
      <c r="B35" s="541"/>
      <c r="C35" s="541"/>
      <c r="D35" s="541"/>
    </row>
    <row r="36" spans="1:4">
      <c r="A36" s="541"/>
      <c r="B36" s="541"/>
      <c r="C36" s="541"/>
      <c r="D36" s="541"/>
    </row>
    <row r="37" spans="1:4">
      <c r="A37" s="541"/>
      <c r="B37" s="541"/>
      <c r="C37" s="541"/>
      <c r="D37" s="541"/>
    </row>
    <row r="38" spans="1:4">
      <c r="A38" s="541"/>
      <c r="B38" s="541"/>
      <c r="C38" s="541"/>
      <c r="D38" s="541"/>
    </row>
    <row r="39" spans="1:4">
      <c r="A39" s="541"/>
      <c r="B39" s="541"/>
      <c r="C39" s="541"/>
      <c r="D39" s="541"/>
    </row>
    <row r="40" spans="1:4">
      <c r="A40" s="541"/>
      <c r="B40" s="541"/>
      <c r="C40" s="541"/>
      <c r="D40" s="541"/>
    </row>
    <row r="41" spans="1:4">
      <c r="A41" s="541"/>
      <c r="B41" s="541"/>
      <c r="C41" s="541"/>
      <c r="D41" s="541"/>
    </row>
    <row r="42" spans="1:4">
      <c r="A42" s="541"/>
      <c r="B42" s="541"/>
      <c r="C42" s="541"/>
      <c r="D42" s="541"/>
    </row>
    <row r="43" spans="1:4">
      <c r="A43" s="541"/>
      <c r="B43" s="541"/>
      <c r="C43" s="541"/>
      <c r="D43" s="541"/>
    </row>
    <row r="44" spans="1:4">
      <c r="A44" s="541"/>
      <c r="B44" s="541"/>
      <c r="C44" s="541"/>
      <c r="D44" s="541"/>
    </row>
    <row r="45" spans="1:4">
      <c r="A45" s="541"/>
      <c r="B45" s="541"/>
      <c r="C45" s="541"/>
      <c r="D45" s="541"/>
    </row>
    <row r="46" spans="1:4">
      <c r="A46" s="541"/>
      <c r="B46" s="541"/>
      <c r="C46" s="541"/>
      <c r="D46" s="541"/>
    </row>
    <row r="47" spans="1:4">
      <c r="A47" s="541"/>
      <c r="B47" s="541"/>
      <c r="C47" s="541"/>
      <c r="D47" s="541"/>
    </row>
    <row r="48" spans="1:4">
      <c r="A48" s="541"/>
      <c r="B48" s="541"/>
      <c r="C48" s="541"/>
      <c r="D48" s="541"/>
    </row>
    <row r="49" spans="1:4">
      <c r="A49" s="541"/>
      <c r="B49" s="541"/>
      <c r="C49" s="541"/>
      <c r="D49" s="541"/>
    </row>
    <row r="50" spans="1:4">
      <c r="A50" s="541"/>
      <c r="B50" s="541"/>
      <c r="C50" s="541"/>
      <c r="D50" s="541"/>
    </row>
    <row r="51" spans="1:4">
      <c r="A51" s="541"/>
      <c r="B51" s="541"/>
      <c r="C51" s="541"/>
      <c r="D51" s="541"/>
    </row>
    <row r="52" spans="1:4">
      <c r="A52" s="541"/>
      <c r="B52" s="541"/>
      <c r="C52" s="541"/>
      <c r="D52" s="541"/>
    </row>
    <row r="53" spans="1:4">
      <c r="A53" s="541"/>
      <c r="B53" s="541"/>
      <c r="C53" s="541"/>
      <c r="D53" s="541"/>
    </row>
    <row r="54" spans="1:4">
      <c r="A54" s="541"/>
      <c r="B54" s="541"/>
      <c r="C54" s="541"/>
      <c r="D54" s="541"/>
    </row>
    <row r="55" spans="1:4">
      <c r="A55" s="541"/>
      <c r="B55" s="541"/>
      <c r="C55" s="541"/>
      <c r="D55" s="541"/>
    </row>
    <row r="56" spans="1:4">
      <c r="A56" s="541"/>
      <c r="B56" s="541"/>
      <c r="C56" s="541"/>
      <c r="D56" s="541"/>
    </row>
    <row r="57" spans="1:4">
      <c r="A57" s="541"/>
      <c r="B57" s="541"/>
      <c r="C57" s="541"/>
      <c r="D57" s="541"/>
    </row>
    <row r="58" spans="1:4">
      <c r="A58" s="541"/>
      <c r="B58" s="541"/>
      <c r="C58" s="541"/>
      <c r="D58" s="541"/>
    </row>
    <row r="59" spans="1:4">
      <c r="A59" s="541"/>
      <c r="B59" s="541"/>
      <c r="C59" s="541"/>
      <c r="D59" s="541"/>
    </row>
    <row r="60" spans="1:4">
      <c r="A60" s="541"/>
      <c r="B60" s="541"/>
      <c r="C60" s="541"/>
      <c r="D60" s="541"/>
    </row>
    <row r="61" spans="1:4">
      <c r="A61" s="541"/>
      <c r="B61" s="541"/>
      <c r="C61" s="541"/>
      <c r="D61" s="541"/>
    </row>
    <row r="62" spans="1:4">
      <c r="A62" s="541"/>
      <c r="B62" s="541"/>
      <c r="C62" s="541"/>
      <c r="D62" s="541"/>
    </row>
    <row r="63" spans="1:4">
      <c r="A63" s="541"/>
      <c r="B63" s="541"/>
      <c r="C63" s="541"/>
      <c r="D63" s="541"/>
    </row>
    <row r="64" spans="1:4">
      <c r="A64" s="541"/>
      <c r="B64" s="541"/>
      <c r="C64" s="541"/>
      <c r="D64" s="541"/>
    </row>
    <row r="65" spans="1:4">
      <c r="A65" s="541"/>
      <c r="B65" s="541"/>
      <c r="C65" s="541"/>
      <c r="D65" s="541"/>
    </row>
    <row r="66" spans="1:4">
      <c r="A66" s="541"/>
      <c r="B66" s="541"/>
      <c r="C66" s="541"/>
      <c r="D66" s="541"/>
    </row>
    <row r="67" spans="1:4">
      <c r="A67" s="541"/>
      <c r="B67" s="541"/>
      <c r="C67" s="541"/>
      <c r="D67" s="541"/>
    </row>
    <row r="68" spans="1:4">
      <c r="A68" s="541"/>
      <c r="B68" s="541"/>
      <c r="C68" s="541"/>
      <c r="D68" s="541"/>
    </row>
    <row r="69" spans="1:4">
      <c r="A69" s="541"/>
      <c r="B69" s="541"/>
      <c r="C69" s="541"/>
      <c r="D69" s="541"/>
    </row>
    <row r="70" spans="1:4">
      <c r="A70" s="541"/>
      <c r="B70" s="541"/>
      <c r="C70" s="541"/>
      <c r="D70" s="541"/>
    </row>
    <row r="71" spans="1:4">
      <c r="A71" s="541"/>
      <c r="B71" s="541"/>
      <c r="C71" s="541"/>
      <c r="D71" s="541"/>
    </row>
    <row r="72" spans="1:4">
      <c r="A72" s="541"/>
      <c r="B72" s="541"/>
      <c r="C72" s="541"/>
      <c r="D72" s="541"/>
    </row>
    <row r="73" spans="1:4">
      <c r="A73" s="541"/>
      <c r="B73" s="541"/>
      <c r="C73" s="541"/>
      <c r="D73" s="541"/>
    </row>
    <row r="74" spans="1:4">
      <c r="A74" s="541"/>
      <c r="B74" s="541"/>
      <c r="C74" s="541"/>
      <c r="D74" s="541"/>
    </row>
    <row r="75" spans="1:4">
      <c r="A75" s="541"/>
      <c r="B75" s="541"/>
      <c r="C75" s="541"/>
      <c r="D75" s="541"/>
    </row>
    <row r="76" spans="1:4">
      <c r="A76" s="541"/>
      <c r="B76" s="541"/>
      <c r="C76" s="541"/>
      <c r="D76" s="541"/>
    </row>
    <row r="77" spans="1:4">
      <c r="A77" s="541"/>
      <c r="B77" s="541"/>
      <c r="C77" s="541"/>
      <c r="D77" s="541"/>
    </row>
    <row r="78" spans="1:4">
      <c r="A78" s="541"/>
      <c r="B78" s="541"/>
      <c r="C78" s="541"/>
      <c r="D78" s="541"/>
    </row>
    <row r="79" spans="1:4">
      <c r="A79" s="541"/>
      <c r="B79" s="541"/>
      <c r="C79" s="541"/>
      <c r="D79" s="541"/>
    </row>
    <row r="80" spans="1:4">
      <c r="A80" s="541"/>
      <c r="B80" s="541"/>
      <c r="C80" s="541"/>
      <c r="D80" s="541"/>
    </row>
    <row r="81" spans="1:4">
      <c r="A81" s="541"/>
      <c r="B81" s="541"/>
      <c r="C81" s="541"/>
      <c r="D81" s="541"/>
    </row>
    <row r="82" spans="1:4">
      <c r="A82" s="541"/>
      <c r="B82" s="541"/>
      <c r="C82" s="541"/>
      <c r="D82" s="541"/>
    </row>
    <row r="83" spans="1:4">
      <c r="A83" s="541"/>
      <c r="B83" s="541"/>
      <c r="C83" s="541"/>
      <c r="D83" s="541"/>
    </row>
    <row r="84" spans="1:4">
      <c r="A84" s="541"/>
      <c r="B84" s="541"/>
      <c r="C84" s="541"/>
      <c r="D84" s="541"/>
    </row>
    <row r="85" spans="1:4">
      <c r="A85" s="541"/>
      <c r="B85" s="541"/>
      <c r="C85" s="541"/>
      <c r="D85" s="541"/>
    </row>
    <row r="86" spans="1:4">
      <c r="A86" s="541"/>
      <c r="B86" s="541"/>
      <c r="C86" s="541"/>
      <c r="D86" s="541"/>
    </row>
    <row r="87" spans="1:4">
      <c r="A87" s="541"/>
      <c r="B87" s="541"/>
      <c r="C87" s="541"/>
      <c r="D87" s="541"/>
    </row>
    <row r="88" spans="1:4">
      <c r="A88" s="541"/>
      <c r="B88" s="541"/>
      <c r="C88" s="541"/>
      <c r="D88" s="541"/>
    </row>
    <row r="89" spans="1:4">
      <c r="A89" s="541"/>
      <c r="B89" s="541"/>
      <c r="C89" s="541"/>
      <c r="D89" s="541"/>
    </row>
    <row r="90" spans="1:4">
      <c r="A90" s="541"/>
      <c r="B90" s="541"/>
      <c r="C90" s="541"/>
      <c r="D90" s="541"/>
    </row>
    <row r="91" spans="1:4">
      <c r="A91" s="541"/>
      <c r="B91" s="541"/>
      <c r="C91" s="541"/>
      <c r="D91" s="541"/>
    </row>
    <row r="92" spans="1:4">
      <c r="A92" s="541"/>
      <c r="B92" s="541"/>
      <c r="C92" s="541"/>
      <c r="D92" s="541"/>
    </row>
    <row r="93" spans="1:4">
      <c r="A93" s="541"/>
      <c r="B93" s="541"/>
      <c r="C93" s="541"/>
      <c r="D93" s="541"/>
    </row>
    <row r="94" spans="1:4">
      <c r="A94" s="541"/>
      <c r="B94" s="541"/>
      <c r="C94" s="541"/>
      <c r="D94" s="541"/>
    </row>
    <row r="95" spans="1:4">
      <c r="A95" s="541"/>
      <c r="B95" s="541"/>
      <c r="C95" s="541"/>
      <c r="D95" s="541"/>
    </row>
    <row r="96" spans="1:4">
      <c r="A96" s="541"/>
      <c r="B96" s="541"/>
      <c r="C96" s="541"/>
      <c r="D96" s="541"/>
    </row>
    <row r="97" spans="1:4">
      <c r="A97" s="541"/>
      <c r="B97" s="541"/>
      <c r="C97" s="541"/>
      <c r="D97" s="541"/>
    </row>
    <row r="98" spans="1:4">
      <c r="A98" s="541"/>
      <c r="B98" s="541"/>
      <c r="C98" s="541"/>
      <c r="D98" s="541"/>
    </row>
    <row r="99" spans="1:4">
      <c r="A99" s="541"/>
      <c r="B99" s="541"/>
      <c r="C99" s="541"/>
      <c r="D99" s="541"/>
    </row>
    <row r="100" spans="1:4">
      <c r="A100" s="541"/>
      <c r="B100" s="541"/>
      <c r="C100" s="541"/>
      <c r="D100" s="541"/>
    </row>
    <row r="101" spans="1:4">
      <c r="A101" s="541"/>
      <c r="B101" s="541"/>
      <c r="C101" s="541"/>
      <c r="D101" s="541"/>
    </row>
    <row r="102" spans="1:4">
      <c r="A102" s="541"/>
      <c r="B102" s="541"/>
      <c r="C102" s="541"/>
      <c r="D102" s="541"/>
    </row>
    <row r="103" spans="1:4">
      <c r="A103" s="541"/>
      <c r="B103" s="541"/>
      <c r="C103" s="541"/>
      <c r="D103" s="541"/>
    </row>
    <row r="104" spans="1:4">
      <c r="A104" s="541"/>
      <c r="B104" s="541"/>
      <c r="C104" s="541"/>
      <c r="D104" s="541"/>
    </row>
    <row r="105" spans="1:4">
      <c r="A105" s="541"/>
      <c r="B105" s="541"/>
      <c r="C105" s="541"/>
      <c r="D105" s="541"/>
    </row>
    <row r="106" spans="1:4">
      <c r="A106" s="541"/>
      <c r="B106" s="541"/>
      <c r="C106" s="541"/>
      <c r="D106" s="541"/>
    </row>
    <row r="107" spans="1:4">
      <c r="A107" s="541"/>
      <c r="B107" s="541"/>
      <c r="C107" s="541"/>
      <c r="D107" s="541"/>
    </row>
    <row r="108" spans="1:4">
      <c r="A108" s="541"/>
      <c r="B108" s="541"/>
      <c r="C108" s="541"/>
      <c r="D108" s="541"/>
    </row>
    <row r="109" spans="1:4">
      <c r="A109" s="541"/>
      <c r="B109" s="541"/>
      <c r="C109" s="541"/>
      <c r="D109" s="541"/>
    </row>
    <row r="110" spans="1:4">
      <c r="A110" s="541"/>
      <c r="B110" s="541"/>
      <c r="C110" s="541"/>
      <c r="D110" s="541"/>
    </row>
    <row r="111" spans="1:4">
      <c r="A111" s="541"/>
      <c r="B111" s="541"/>
      <c r="C111" s="541"/>
      <c r="D111" s="541"/>
    </row>
    <row r="112" spans="1:4">
      <c r="A112" s="541"/>
      <c r="B112" s="541"/>
      <c r="C112" s="541"/>
      <c r="D112" s="541"/>
    </row>
    <row r="113" spans="1:4">
      <c r="A113" s="541"/>
      <c r="B113" s="541"/>
      <c r="C113" s="541"/>
      <c r="D113" s="541"/>
    </row>
    <row r="114" spans="1:4">
      <c r="A114" s="541"/>
      <c r="B114" s="541"/>
      <c r="C114" s="541"/>
      <c r="D114" s="541"/>
    </row>
    <row r="115" spans="1:4">
      <c r="A115" s="541"/>
      <c r="B115" s="541"/>
      <c r="C115" s="541"/>
      <c r="D115" s="541"/>
    </row>
    <row r="116" spans="1:4">
      <c r="A116" s="541"/>
      <c r="B116" s="541"/>
      <c r="C116" s="541"/>
      <c r="D116" s="541"/>
    </row>
    <row r="117" spans="1:4">
      <c r="A117" s="541"/>
      <c r="B117" s="541"/>
      <c r="C117" s="541"/>
      <c r="D117" s="541"/>
    </row>
    <row r="118" spans="1:4">
      <c r="A118" s="541"/>
      <c r="B118" s="541"/>
      <c r="C118" s="541"/>
      <c r="D118" s="541"/>
    </row>
    <row r="119" spans="1:4">
      <c r="A119" s="541"/>
      <c r="B119" s="541"/>
      <c r="C119" s="541"/>
      <c r="D119" s="541"/>
    </row>
    <row r="120" spans="1:4">
      <c r="A120" s="541"/>
      <c r="B120" s="541"/>
      <c r="C120" s="541"/>
      <c r="D120" s="541"/>
    </row>
    <row r="121" spans="1:4">
      <c r="A121" s="541"/>
      <c r="B121" s="541"/>
      <c r="C121" s="541"/>
      <c r="D121" s="541"/>
    </row>
    <row r="122" spans="1:4">
      <c r="A122" s="541"/>
      <c r="B122" s="541"/>
      <c r="C122" s="541"/>
      <c r="D122" s="541"/>
    </row>
    <row r="123" spans="1:4">
      <c r="A123" s="541"/>
      <c r="B123" s="541"/>
      <c r="C123" s="541"/>
      <c r="D123" s="541"/>
    </row>
    <row r="124" spans="1:4">
      <c r="A124" s="541"/>
      <c r="B124" s="541"/>
      <c r="C124" s="541"/>
      <c r="D124" s="541"/>
    </row>
    <row r="125" spans="1:4">
      <c r="A125" s="541"/>
      <c r="B125" s="541"/>
      <c r="C125" s="541"/>
      <c r="D125" s="541"/>
    </row>
    <row r="126" spans="1:4">
      <c r="A126" s="541"/>
      <c r="B126" s="541"/>
      <c r="C126" s="541"/>
      <c r="D126" s="541"/>
    </row>
    <row r="127" spans="1:4">
      <c r="A127" s="541"/>
      <c r="B127" s="541"/>
      <c r="C127" s="541"/>
      <c r="D127" s="541"/>
    </row>
    <row r="128" spans="1:4">
      <c r="A128" s="541"/>
      <c r="B128" s="541"/>
      <c r="C128" s="541"/>
      <c r="D128" s="541"/>
    </row>
    <row r="129" spans="1:4">
      <c r="A129" s="541"/>
      <c r="B129" s="541"/>
      <c r="C129" s="541"/>
      <c r="D129" s="541"/>
    </row>
    <row r="130" spans="1:4">
      <c r="A130" s="541"/>
      <c r="B130" s="541"/>
      <c r="C130" s="541"/>
      <c r="D130" s="541"/>
    </row>
    <row r="131" spans="1:4">
      <c r="A131" s="541"/>
      <c r="B131" s="541"/>
      <c r="C131" s="541"/>
      <c r="D131" s="541"/>
    </row>
    <row r="132" spans="1:4">
      <c r="A132" s="541"/>
      <c r="B132" s="541"/>
      <c r="C132" s="541"/>
      <c r="D132" s="541"/>
    </row>
    <row r="133" spans="1:4">
      <c r="A133" s="541"/>
      <c r="B133" s="541"/>
      <c r="C133" s="541"/>
      <c r="D133" s="541"/>
    </row>
    <row r="134" spans="1:4">
      <c r="A134" s="541"/>
      <c r="B134" s="541"/>
      <c r="C134" s="541"/>
      <c r="D134" s="541"/>
    </row>
    <row r="135" spans="1:4">
      <c r="A135" s="541"/>
      <c r="B135" s="541"/>
      <c r="C135" s="541"/>
      <c r="D135" s="541"/>
    </row>
    <row r="136" spans="1:4">
      <c r="A136" s="541"/>
      <c r="B136" s="541"/>
      <c r="C136" s="541"/>
      <c r="D136" s="541"/>
    </row>
    <row r="137" spans="1:4">
      <c r="A137" s="541"/>
      <c r="B137" s="541"/>
      <c r="C137" s="541"/>
      <c r="D137" s="541"/>
    </row>
    <row r="138" spans="1:4">
      <c r="A138" s="541"/>
      <c r="B138" s="541"/>
      <c r="C138" s="541"/>
      <c r="D138" s="541"/>
    </row>
    <row r="139" spans="1:4">
      <c r="A139" s="541"/>
      <c r="B139" s="541"/>
      <c r="C139" s="541"/>
      <c r="D139" s="541"/>
    </row>
    <row r="140" spans="1:4">
      <c r="A140" s="541"/>
      <c r="B140" s="541"/>
      <c r="C140" s="541"/>
      <c r="D140" s="541"/>
    </row>
    <row r="141" spans="1:4">
      <c r="A141" s="541"/>
      <c r="B141" s="541"/>
      <c r="C141" s="541"/>
      <c r="D141" s="541"/>
    </row>
    <row r="142" spans="1:4">
      <c r="A142" s="541"/>
      <c r="B142" s="541"/>
      <c r="C142" s="541"/>
      <c r="D142" s="541"/>
    </row>
    <row r="143" spans="1:4">
      <c r="A143" s="541"/>
      <c r="B143" s="541"/>
      <c r="C143" s="541"/>
      <c r="D143" s="541"/>
    </row>
    <row r="144" spans="1:4">
      <c r="A144" s="541"/>
      <c r="B144" s="541"/>
      <c r="C144" s="541"/>
      <c r="D144" s="541"/>
    </row>
    <row r="145" spans="1:4">
      <c r="A145" s="541"/>
      <c r="B145" s="541"/>
      <c r="C145" s="541"/>
      <c r="D145" s="541"/>
    </row>
    <row r="146" spans="1:4">
      <c r="A146" s="541"/>
      <c r="B146" s="541"/>
      <c r="C146" s="541"/>
      <c r="D146" s="541"/>
    </row>
    <row r="147" spans="1:4">
      <c r="A147" s="541"/>
      <c r="B147" s="541"/>
      <c r="C147" s="541"/>
      <c r="D147" s="541"/>
    </row>
    <row r="148" spans="1:4">
      <c r="A148" s="541"/>
      <c r="B148" s="541"/>
      <c r="C148" s="541"/>
      <c r="D148" s="541"/>
    </row>
    <row r="149" spans="1:4">
      <c r="A149" s="541"/>
      <c r="B149" s="541"/>
      <c r="C149" s="541"/>
      <c r="D149" s="541"/>
    </row>
    <row r="150" spans="1:4">
      <c r="A150" s="541"/>
      <c r="B150" s="541"/>
      <c r="C150" s="541"/>
      <c r="D150" s="541"/>
    </row>
    <row r="151" spans="1:4">
      <c r="A151" s="541"/>
      <c r="B151" s="541"/>
      <c r="C151" s="541"/>
      <c r="D151" s="541"/>
    </row>
    <row r="152" spans="1:4">
      <c r="A152" s="541"/>
      <c r="B152" s="541"/>
      <c r="C152" s="541"/>
      <c r="D152" s="541"/>
    </row>
    <row r="153" spans="1:4">
      <c r="A153" s="541"/>
      <c r="B153" s="541"/>
      <c r="C153" s="541"/>
      <c r="D153" s="541"/>
    </row>
    <row r="154" spans="1:4">
      <c r="A154" s="541"/>
      <c r="B154" s="541"/>
      <c r="C154" s="541"/>
      <c r="D154" s="541"/>
    </row>
    <row r="155" spans="1:4">
      <c r="A155" s="541"/>
      <c r="B155" s="541"/>
      <c r="C155" s="541"/>
      <c r="D155" s="541"/>
    </row>
    <row r="156" spans="1:4">
      <c r="A156" s="541"/>
      <c r="B156" s="541"/>
      <c r="C156" s="541"/>
      <c r="D156" s="541"/>
    </row>
    <row r="157" spans="1:4">
      <c r="A157" s="541"/>
      <c r="B157" s="541"/>
      <c r="C157" s="541"/>
      <c r="D157" s="541"/>
    </row>
    <row r="158" spans="1:4">
      <c r="A158" s="541"/>
      <c r="B158" s="541"/>
      <c r="C158" s="541"/>
      <c r="D158" s="541"/>
    </row>
    <row r="159" spans="1:4">
      <c r="A159" s="541"/>
      <c r="B159" s="541"/>
      <c r="C159" s="541"/>
      <c r="D159" s="541"/>
    </row>
    <row r="160" spans="1:4">
      <c r="A160" s="541"/>
      <c r="B160" s="541"/>
      <c r="C160" s="541"/>
      <c r="D160" s="541"/>
    </row>
    <row r="161" spans="1:4">
      <c r="A161" s="541"/>
      <c r="B161" s="541"/>
      <c r="C161" s="541"/>
      <c r="D161" s="541"/>
    </row>
    <row r="162" spans="1:4">
      <c r="A162" s="541"/>
      <c r="B162" s="541"/>
      <c r="C162" s="541"/>
      <c r="D162" s="541"/>
    </row>
    <row r="163" spans="1:4">
      <c r="A163" s="541"/>
      <c r="B163" s="541"/>
      <c r="C163" s="541"/>
      <c r="D163" s="541"/>
    </row>
    <row r="164" spans="1:4">
      <c r="A164" s="541"/>
      <c r="B164" s="541"/>
      <c r="C164" s="541"/>
      <c r="D164" s="541"/>
    </row>
    <row r="165" spans="1:4">
      <c r="A165" s="541"/>
      <c r="B165" s="541"/>
      <c r="C165" s="541"/>
      <c r="D165" s="541"/>
    </row>
    <row r="166" spans="1:4">
      <c r="A166" s="541"/>
      <c r="B166" s="541"/>
      <c r="C166" s="541"/>
      <c r="D166" s="541"/>
    </row>
    <row r="167" spans="1:4">
      <c r="A167" s="541"/>
      <c r="B167" s="541"/>
      <c r="C167" s="541"/>
      <c r="D167" s="541"/>
    </row>
    <row r="168" spans="1:4">
      <c r="A168" s="541"/>
      <c r="B168" s="541"/>
      <c r="C168" s="541"/>
      <c r="D168" s="541"/>
    </row>
    <row r="169" spans="1:4">
      <c r="A169" s="541"/>
      <c r="B169" s="541"/>
      <c r="C169" s="541"/>
      <c r="D169" s="541"/>
    </row>
    <row r="170" spans="1:4">
      <c r="A170" s="541"/>
      <c r="B170" s="541"/>
      <c r="C170" s="541"/>
      <c r="D170" s="541"/>
    </row>
    <row r="171" spans="1:4">
      <c r="A171" s="541"/>
      <c r="B171" s="541"/>
      <c r="C171" s="541"/>
      <c r="D171" s="541"/>
    </row>
    <row r="172" spans="1:4">
      <c r="A172" s="541"/>
      <c r="B172" s="541"/>
      <c r="C172" s="541"/>
      <c r="D172" s="541"/>
    </row>
    <row r="173" spans="1:4">
      <c r="A173" s="541"/>
      <c r="B173" s="541"/>
      <c r="C173" s="541"/>
      <c r="D173" s="541"/>
    </row>
    <row r="174" spans="1:4">
      <c r="A174" s="541"/>
      <c r="B174" s="541"/>
      <c r="C174" s="541"/>
      <c r="D174" s="541"/>
    </row>
    <row r="175" spans="1:4">
      <c r="A175" s="541"/>
      <c r="B175" s="541"/>
      <c r="C175" s="541"/>
      <c r="D175" s="541"/>
    </row>
    <row r="176" spans="1:4">
      <c r="A176" s="541"/>
      <c r="B176" s="541"/>
      <c r="C176" s="541"/>
      <c r="D176" s="541"/>
    </row>
    <row r="177" spans="1:4">
      <c r="A177" s="541"/>
      <c r="B177" s="541"/>
      <c r="C177" s="541"/>
      <c r="D177" s="541"/>
    </row>
    <row r="178" spans="1:4">
      <c r="A178" s="541"/>
      <c r="B178" s="541"/>
      <c r="C178" s="541"/>
      <c r="D178" s="541"/>
    </row>
    <row r="179" spans="1:4">
      <c r="A179" s="541"/>
      <c r="B179" s="541"/>
      <c r="C179" s="541"/>
      <c r="D179" s="541"/>
    </row>
    <row r="180" spans="1:4">
      <c r="A180" s="541"/>
      <c r="B180" s="541"/>
      <c r="C180" s="541"/>
      <c r="D180" s="541"/>
    </row>
    <row r="181" spans="1:4">
      <c r="A181" s="541"/>
      <c r="B181" s="541"/>
      <c r="C181" s="541"/>
      <c r="D181" s="541"/>
    </row>
    <row r="182" spans="1:4">
      <c r="A182" s="541"/>
      <c r="B182" s="541"/>
      <c r="C182" s="541"/>
      <c r="D182" s="541"/>
    </row>
    <row r="183" spans="1:4">
      <c r="A183" s="541"/>
      <c r="B183" s="541"/>
      <c r="C183" s="541"/>
      <c r="D183" s="541"/>
    </row>
    <row r="184" spans="1:4">
      <c r="A184" s="541"/>
      <c r="B184" s="541"/>
      <c r="C184" s="541"/>
      <c r="D184" s="541"/>
    </row>
    <row r="185" spans="1:4">
      <c r="A185" s="541"/>
      <c r="B185" s="541"/>
      <c r="C185" s="541"/>
      <c r="D185" s="541"/>
    </row>
    <row r="186" spans="1:4">
      <c r="A186" s="541"/>
      <c r="B186" s="541"/>
      <c r="C186" s="541"/>
      <c r="D186" s="541"/>
    </row>
    <row r="187" spans="1:4">
      <c r="A187" s="541"/>
      <c r="B187" s="541"/>
      <c r="C187" s="541"/>
      <c r="D187" s="541"/>
    </row>
    <row r="188" spans="1:4">
      <c r="A188" s="541"/>
      <c r="B188" s="541"/>
      <c r="C188" s="541"/>
      <c r="D188" s="541"/>
    </row>
    <row r="189" spans="1:4">
      <c r="A189" s="541"/>
      <c r="B189" s="541"/>
      <c r="C189" s="541"/>
      <c r="D189" s="541"/>
    </row>
    <row r="190" spans="1:4">
      <c r="A190" s="541"/>
      <c r="B190" s="541"/>
      <c r="C190" s="541"/>
      <c r="D190" s="541"/>
    </row>
    <row r="191" spans="1:4">
      <c r="A191" s="541"/>
      <c r="B191" s="541"/>
      <c r="C191" s="541"/>
      <c r="D191" s="541"/>
    </row>
    <row r="192" spans="1:4">
      <c r="A192" s="541"/>
      <c r="B192" s="541"/>
      <c r="C192" s="541"/>
      <c r="D192" s="541"/>
    </row>
    <row r="193" spans="1:4">
      <c r="A193" s="541"/>
      <c r="B193" s="541"/>
      <c r="C193" s="541"/>
      <c r="D193" s="541"/>
    </row>
    <row r="194" spans="1:4">
      <c r="A194" s="541"/>
      <c r="B194" s="541"/>
      <c r="C194" s="541"/>
      <c r="D194" s="541"/>
    </row>
    <row r="195" spans="1:4">
      <c r="A195" s="541"/>
      <c r="B195" s="541"/>
      <c r="C195" s="541"/>
      <c r="D195" s="541"/>
    </row>
    <row r="196" spans="1:4">
      <c r="A196" s="541"/>
      <c r="B196" s="541"/>
      <c r="C196" s="541"/>
      <c r="D196" s="541"/>
    </row>
    <row r="197" spans="1:4">
      <c r="A197" s="541"/>
      <c r="B197" s="541"/>
      <c r="C197" s="541"/>
      <c r="D197" s="541"/>
    </row>
    <row r="198" spans="1:4">
      <c r="A198" s="541"/>
      <c r="B198" s="541"/>
      <c r="C198" s="541"/>
      <c r="D198" s="541"/>
    </row>
    <row r="199" spans="1:4">
      <c r="A199" s="541"/>
      <c r="B199" s="541"/>
      <c r="C199" s="541"/>
      <c r="D199" s="541"/>
    </row>
    <row r="200" spans="1:4">
      <c r="A200" s="541"/>
      <c r="B200" s="541"/>
      <c r="C200" s="541"/>
      <c r="D200" s="541"/>
    </row>
    <row r="201" spans="1:4">
      <c r="A201" s="541"/>
      <c r="B201" s="541"/>
      <c r="C201" s="541"/>
      <c r="D201" s="541"/>
    </row>
    <row r="202" spans="1:4">
      <c r="A202" s="541"/>
      <c r="B202" s="541"/>
      <c r="C202" s="541"/>
      <c r="D202" s="541"/>
    </row>
    <row r="203" spans="1:4">
      <c r="A203" s="541"/>
      <c r="B203" s="541"/>
      <c r="C203" s="541"/>
      <c r="D203" s="541"/>
    </row>
    <row r="204" spans="1:4">
      <c r="A204" s="541"/>
      <c r="B204" s="541"/>
      <c r="C204" s="541"/>
      <c r="D204" s="541"/>
    </row>
    <row r="205" spans="1:4">
      <c r="A205" s="541"/>
      <c r="B205" s="541"/>
      <c r="C205" s="541"/>
      <c r="D205" s="541"/>
    </row>
    <row r="206" spans="1:4">
      <c r="A206" s="541"/>
      <c r="B206" s="541"/>
      <c r="C206" s="541"/>
      <c r="D206" s="541"/>
    </row>
    <row r="207" spans="1:4">
      <c r="A207" s="541"/>
      <c r="B207" s="541"/>
      <c r="C207" s="541"/>
      <c r="D207" s="541"/>
    </row>
    <row r="208" spans="1:4">
      <c r="A208" s="541"/>
      <c r="B208" s="541"/>
      <c r="C208" s="541"/>
      <c r="D208" s="541"/>
    </row>
    <row r="209" spans="1:4">
      <c r="A209" s="541"/>
      <c r="B209" s="541"/>
      <c r="C209" s="541"/>
      <c r="D209" s="541"/>
    </row>
    <row r="210" spans="1:4">
      <c r="A210" s="541"/>
      <c r="B210" s="541"/>
      <c r="C210" s="541"/>
      <c r="D210" s="541"/>
    </row>
    <row r="211" spans="1:4">
      <c r="A211" s="541"/>
      <c r="B211" s="541"/>
      <c r="C211" s="541"/>
      <c r="D211" s="541"/>
    </row>
    <row r="212" spans="1:4">
      <c r="A212" s="541"/>
      <c r="B212" s="541"/>
      <c r="C212" s="541"/>
      <c r="D212" s="541"/>
    </row>
    <row r="213" spans="1:4">
      <c r="A213" s="541"/>
      <c r="B213" s="541"/>
      <c r="C213" s="541"/>
      <c r="D213" s="541"/>
    </row>
    <row r="214" spans="1:4">
      <c r="A214" s="541"/>
      <c r="B214" s="541"/>
      <c r="C214" s="541"/>
      <c r="D214" s="541"/>
    </row>
    <row r="215" spans="1:4">
      <c r="A215" s="541"/>
      <c r="B215" s="541"/>
      <c r="C215" s="541"/>
      <c r="D215" s="541"/>
    </row>
    <row r="216" spans="1:4">
      <c r="A216" s="541"/>
      <c r="B216" s="541"/>
      <c r="C216" s="541"/>
      <c r="D216" s="541"/>
    </row>
    <row r="217" spans="1:4">
      <c r="A217" s="541"/>
      <c r="B217" s="541"/>
      <c r="C217" s="541"/>
      <c r="D217" s="541"/>
    </row>
    <row r="218" spans="1:4">
      <c r="A218" s="541"/>
      <c r="B218" s="541"/>
      <c r="C218" s="541"/>
      <c r="D218" s="541"/>
    </row>
    <row r="219" spans="1:4">
      <c r="A219" s="541"/>
      <c r="B219" s="541"/>
      <c r="C219" s="541"/>
      <c r="D219" s="541"/>
    </row>
    <row r="220" spans="1:4">
      <c r="A220" s="541"/>
      <c r="B220" s="541"/>
      <c r="C220" s="541"/>
      <c r="D220" s="541"/>
    </row>
    <row r="221" spans="1:4">
      <c r="A221" s="541"/>
      <c r="B221" s="541"/>
      <c r="C221" s="541"/>
      <c r="D221" s="541"/>
    </row>
    <row r="222" spans="1:4">
      <c r="A222" s="541"/>
      <c r="B222" s="541"/>
      <c r="C222" s="541"/>
      <c r="D222" s="541"/>
    </row>
    <row r="223" spans="1:4">
      <c r="A223" s="541"/>
      <c r="B223" s="541"/>
      <c r="C223" s="541"/>
      <c r="D223" s="541"/>
    </row>
    <row r="224" spans="1:4">
      <c r="A224" s="541"/>
      <c r="B224" s="541"/>
      <c r="C224" s="541"/>
      <c r="D224" s="541"/>
    </row>
    <row r="225" spans="1:4">
      <c r="A225" s="541"/>
      <c r="B225" s="541"/>
      <c r="C225" s="541"/>
      <c r="D225" s="541"/>
    </row>
    <row r="226" spans="1:4">
      <c r="A226" s="541"/>
      <c r="B226" s="541"/>
      <c r="C226" s="541"/>
      <c r="D226" s="541"/>
    </row>
    <row r="227" spans="1:4">
      <c r="A227" s="541"/>
      <c r="B227" s="541"/>
      <c r="C227" s="541"/>
      <c r="D227" s="541"/>
    </row>
    <row r="228" spans="1:4">
      <c r="A228" s="541"/>
      <c r="B228" s="541"/>
      <c r="C228" s="541"/>
      <c r="D228" s="541"/>
    </row>
    <row r="229" spans="1:4">
      <c r="A229" s="541"/>
      <c r="B229" s="541"/>
      <c r="C229" s="541"/>
      <c r="D229" s="541"/>
    </row>
    <row r="230" spans="1:4">
      <c r="A230" s="541"/>
      <c r="B230" s="541"/>
      <c r="C230" s="541"/>
      <c r="D230" s="541"/>
    </row>
    <row r="231" spans="1:4">
      <c r="A231" s="541"/>
      <c r="B231" s="541"/>
      <c r="C231" s="541"/>
      <c r="D231" s="541"/>
    </row>
    <row r="232" spans="1:4">
      <c r="A232" s="541"/>
      <c r="B232" s="541"/>
      <c r="C232" s="541"/>
      <c r="D232" s="541"/>
    </row>
    <row r="233" spans="1:4">
      <c r="A233" s="541"/>
      <c r="B233" s="541"/>
      <c r="C233" s="541"/>
      <c r="D233" s="541"/>
    </row>
    <row r="234" spans="1:4">
      <c r="A234" s="541"/>
      <c r="B234" s="541"/>
      <c r="C234" s="541"/>
      <c r="D234" s="541"/>
    </row>
    <row r="235" spans="1:4">
      <c r="A235" s="541"/>
      <c r="B235" s="541"/>
      <c r="C235" s="541"/>
      <c r="D235" s="541"/>
    </row>
    <row r="236" spans="1:4">
      <c r="A236" s="541"/>
      <c r="B236" s="541"/>
      <c r="C236" s="541"/>
      <c r="D236" s="541"/>
    </row>
    <row r="237" spans="1:4">
      <c r="A237" s="541"/>
      <c r="B237" s="541"/>
      <c r="C237" s="541"/>
      <c r="D237" s="541"/>
    </row>
    <row r="238" spans="1:4">
      <c r="A238" s="541"/>
      <c r="B238" s="541"/>
      <c r="C238" s="541"/>
      <c r="D238" s="541"/>
    </row>
    <row r="239" spans="1:4">
      <c r="A239" s="541"/>
      <c r="B239" s="541"/>
      <c r="C239" s="541"/>
      <c r="D239" s="541"/>
    </row>
    <row r="240" spans="1:4">
      <c r="A240" s="541"/>
      <c r="B240" s="541"/>
      <c r="C240" s="541"/>
      <c r="D240" s="541"/>
    </row>
    <row r="241" spans="1:4">
      <c r="A241" s="541"/>
      <c r="B241" s="541"/>
      <c r="C241" s="541"/>
      <c r="D241" s="541"/>
    </row>
    <row r="242" spans="1:4">
      <c r="A242" s="541"/>
      <c r="B242" s="541"/>
      <c r="C242" s="541"/>
      <c r="D242" s="541"/>
    </row>
    <row r="243" spans="1:4">
      <c r="A243" s="541"/>
      <c r="B243" s="541"/>
      <c r="C243" s="541"/>
      <c r="D243" s="541"/>
    </row>
    <row r="244" spans="1:4">
      <c r="A244" s="541"/>
      <c r="B244" s="541"/>
      <c r="C244" s="541"/>
      <c r="D244" s="541"/>
    </row>
    <row r="245" spans="1:4">
      <c r="A245" s="541"/>
      <c r="B245" s="541"/>
      <c r="C245" s="541"/>
      <c r="D245" s="541"/>
    </row>
    <row r="246" spans="1:4">
      <c r="A246" s="541"/>
      <c r="B246" s="541"/>
      <c r="C246" s="541"/>
      <c r="D246" s="541"/>
    </row>
    <row r="247" spans="1:4">
      <c r="A247" s="541"/>
      <c r="B247" s="541"/>
      <c r="C247" s="541"/>
      <c r="D247" s="541"/>
    </row>
    <row r="248" spans="1:4">
      <c r="A248" s="541"/>
      <c r="B248" s="541"/>
      <c r="C248" s="541"/>
      <c r="D248" s="541"/>
    </row>
    <row r="249" spans="1:4">
      <c r="A249" s="541"/>
      <c r="B249" s="541"/>
      <c r="C249" s="541"/>
      <c r="D249" s="541"/>
    </row>
    <row r="250" spans="1:4">
      <c r="A250" s="541"/>
      <c r="B250" s="541"/>
      <c r="C250" s="541"/>
      <c r="D250" s="541"/>
    </row>
    <row r="251" spans="1:4">
      <c r="A251" s="541"/>
      <c r="B251" s="541"/>
      <c r="C251" s="541"/>
      <c r="D251" s="541"/>
    </row>
    <row r="252" spans="1:4">
      <c r="A252" s="541"/>
      <c r="B252" s="541"/>
      <c r="C252" s="541"/>
      <c r="D252" s="541"/>
    </row>
    <row r="253" spans="1:4">
      <c r="A253" s="541"/>
      <c r="B253" s="541"/>
      <c r="C253" s="541"/>
      <c r="D253" s="541"/>
    </row>
    <row r="254" spans="1:4">
      <c r="A254" s="541"/>
      <c r="B254" s="541"/>
      <c r="C254" s="541"/>
      <c r="D254" s="541"/>
    </row>
    <row r="255" spans="1:4">
      <c r="A255" s="541"/>
      <c r="B255" s="541"/>
      <c r="C255" s="541"/>
      <c r="D255" s="541"/>
    </row>
    <row r="256" spans="1:4">
      <c r="A256" s="541"/>
      <c r="B256" s="541"/>
      <c r="C256" s="541"/>
      <c r="D256" s="541"/>
    </row>
  </sheetData>
  <sheetProtection password="DC9E" sheet="1" objects="1" scenarios="1"/>
  <mergeCells count="1">
    <mergeCell ref="A2:D2"/>
  </mergeCells>
  <phoneticPr fontId="11" type="noConversion"/>
  <printOptions horizontalCentered="1"/>
  <pageMargins left="0.75" right="0.75" top="0.78888888888888897" bottom="0.58888888888888902" header="0.50902777777777797" footer="0.50902777777777797"/>
  <pageSetup paperSize="9" orientation="portrait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/>
  </sheetPr>
  <dimension ref="A1:I255"/>
  <sheetViews>
    <sheetView zoomScale="80" zoomScaleNormal="80" workbookViewId="0">
      <selection activeCell="H9" sqref="H9"/>
    </sheetView>
  </sheetViews>
  <sheetFormatPr defaultColWidth="9" defaultRowHeight="14.25"/>
  <cols>
    <col min="1" max="1" width="30.125" style="785" customWidth="1"/>
    <col min="2" max="2" width="12" style="785" customWidth="1"/>
    <col min="3" max="3" width="10.625" style="785" customWidth="1"/>
    <col min="4" max="4" width="12.125" style="868" customWidth="1"/>
    <col min="5" max="5" width="10.625" style="785" customWidth="1"/>
    <col min="6" max="6" width="9" style="785"/>
    <col min="7" max="7" width="10.5" style="785" customWidth="1"/>
    <col min="8" max="8" width="9.75" style="785" customWidth="1"/>
    <col min="9" max="9" width="11.75" style="785" customWidth="1"/>
    <col min="10" max="16384" width="9" style="785"/>
  </cols>
  <sheetData>
    <row r="1" spans="1:9" s="42" customFormat="1" ht="28.5" customHeight="1">
      <c r="A1" s="1067" t="s">
        <v>132</v>
      </c>
      <c r="B1" s="1067"/>
      <c r="C1" s="1067"/>
      <c r="D1" s="1067"/>
      <c r="E1" s="1066"/>
    </row>
    <row r="2" spans="1:9" s="42" customFormat="1" ht="19.5" customHeight="1">
      <c r="A2" s="884"/>
      <c r="B2" s="884"/>
      <c r="C2" s="884"/>
      <c r="D2" s="1081" t="s">
        <v>37</v>
      </c>
      <c r="E2" s="1081"/>
    </row>
    <row r="3" spans="1:9" s="42" customFormat="1" ht="35.25" customHeight="1">
      <c r="A3" s="885" t="s">
        <v>38</v>
      </c>
      <c r="B3" s="886" t="s">
        <v>80</v>
      </c>
      <c r="C3" s="887" t="s">
        <v>81</v>
      </c>
      <c r="D3" s="888" t="s">
        <v>82</v>
      </c>
      <c r="E3" s="887" t="s">
        <v>81</v>
      </c>
      <c r="G3" s="889"/>
      <c r="I3" s="889"/>
    </row>
    <row r="4" spans="1:9" s="42" customFormat="1" ht="24.95" customHeight="1">
      <c r="A4" s="890" t="s">
        <v>133</v>
      </c>
      <c r="B4" s="891">
        <v>156.9033</v>
      </c>
      <c r="C4" s="892">
        <v>3.8</v>
      </c>
      <c r="D4" s="893">
        <v>340.39429999999999</v>
      </c>
      <c r="E4" s="894">
        <v>4.0999999999999996</v>
      </c>
      <c r="G4" s="889"/>
      <c r="I4" s="889"/>
    </row>
    <row r="5" spans="1:9" s="42" customFormat="1" ht="24.95" customHeight="1">
      <c r="A5" s="832" t="s">
        <v>134</v>
      </c>
      <c r="B5" s="895">
        <v>7.5899999999999995E-2</v>
      </c>
      <c r="C5" s="835">
        <v>7.7</v>
      </c>
      <c r="D5" s="896">
        <v>0.12970000000000001</v>
      </c>
      <c r="E5" s="837">
        <v>36.1</v>
      </c>
      <c r="G5" s="889"/>
      <c r="I5" s="889"/>
    </row>
    <row r="6" spans="1:9" s="42" customFormat="1" ht="24.95" customHeight="1">
      <c r="A6" s="832" t="s">
        <v>135</v>
      </c>
      <c r="B6" s="895">
        <v>0.16750000000000001</v>
      </c>
      <c r="C6" s="835">
        <v>107.6</v>
      </c>
      <c r="D6" s="896">
        <v>0.4335</v>
      </c>
      <c r="E6" s="837">
        <v>120.8</v>
      </c>
      <c r="G6" s="889"/>
      <c r="I6" s="889"/>
    </row>
    <row r="7" spans="1:9" s="42" customFormat="1" ht="24.95" customHeight="1">
      <c r="A7" s="832" t="s">
        <v>136</v>
      </c>
      <c r="B7" s="895">
        <v>0.59119999999999995</v>
      </c>
      <c r="C7" s="835">
        <v>51.5</v>
      </c>
      <c r="D7" s="896">
        <v>1.556</v>
      </c>
      <c r="E7" s="837">
        <v>90.8</v>
      </c>
      <c r="G7" s="889"/>
      <c r="I7" s="889"/>
    </row>
    <row r="8" spans="1:9" s="42" customFormat="1" ht="24.95" customHeight="1">
      <c r="A8" s="832" t="s">
        <v>137</v>
      </c>
      <c r="B8" s="895">
        <v>0.32229999999999998</v>
      </c>
      <c r="C8" s="835">
        <v>44.8</v>
      </c>
      <c r="D8" s="896">
        <v>0.71040000000000003</v>
      </c>
      <c r="E8" s="837">
        <v>79.900000000000006</v>
      </c>
      <c r="G8" s="889"/>
      <c r="I8" s="889"/>
    </row>
    <row r="9" spans="1:9" s="42" customFormat="1" ht="24.95" customHeight="1">
      <c r="A9" s="832" t="s">
        <v>138</v>
      </c>
      <c r="B9" s="895">
        <v>0</v>
      </c>
      <c r="C9" s="835">
        <v>0</v>
      </c>
      <c r="D9" s="896">
        <v>0</v>
      </c>
      <c r="E9" s="837">
        <v>0</v>
      </c>
      <c r="G9" s="889"/>
      <c r="I9" s="889"/>
    </row>
    <row r="10" spans="1:9" s="42" customFormat="1" ht="24.95" customHeight="1">
      <c r="A10" s="832" t="s">
        <v>139</v>
      </c>
      <c r="B10" s="895">
        <v>26.334800000000001</v>
      </c>
      <c r="C10" s="835">
        <v>1.8</v>
      </c>
      <c r="D10" s="896">
        <v>64.529499999999999</v>
      </c>
      <c r="E10" s="837">
        <v>7</v>
      </c>
      <c r="G10" s="889"/>
      <c r="I10" s="889"/>
    </row>
    <row r="11" spans="1:9" s="42" customFormat="1" ht="24.95" customHeight="1">
      <c r="A11" s="832" t="s">
        <v>140</v>
      </c>
      <c r="B11" s="895">
        <v>4.7568000000000001</v>
      </c>
      <c r="C11" s="835">
        <v>50.1</v>
      </c>
      <c r="D11" s="896">
        <v>11.9192</v>
      </c>
      <c r="E11" s="837">
        <v>42.8</v>
      </c>
      <c r="G11" s="889"/>
      <c r="I11" s="889"/>
    </row>
    <row r="12" spans="1:9" s="42" customFormat="1" ht="24.95" customHeight="1">
      <c r="A12" s="832" t="s">
        <v>141</v>
      </c>
      <c r="B12" s="895">
        <v>9.5503</v>
      </c>
      <c r="C12" s="835">
        <v>-12</v>
      </c>
      <c r="D12" s="896">
        <v>22.0185</v>
      </c>
      <c r="E12" s="837">
        <v>-6.3</v>
      </c>
      <c r="G12" s="889"/>
      <c r="I12" s="889"/>
    </row>
    <row r="13" spans="1:9" s="42" customFormat="1" ht="24.95" customHeight="1">
      <c r="A13" s="897" t="s">
        <v>142</v>
      </c>
      <c r="B13" s="895">
        <v>3.1551</v>
      </c>
      <c r="C13" s="880">
        <v>-9.5</v>
      </c>
      <c r="D13" s="896">
        <v>10.8384</v>
      </c>
      <c r="E13" s="837">
        <v>2.9</v>
      </c>
      <c r="G13" s="889"/>
      <c r="I13" s="889"/>
    </row>
    <row r="14" spans="1:9" s="42" customFormat="1" ht="24.95" customHeight="1">
      <c r="A14" s="897" t="s">
        <v>143</v>
      </c>
      <c r="B14" s="895">
        <v>0.90500000000000003</v>
      </c>
      <c r="C14" s="880">
        <v>21.1</v>
      </c>
      <c r="D14" s="896">
        <v>1.9753000000000001</v>
      </c>
      <c r="E14" s="837">
        <v>5.5</v>
      </c>
      <c r="G14" s="889"/>
      <c r="I14" s="889"/>
    </row>
    <row r="15" spans="1:9" s="42" customFormat="1" ht="24.95" customHeight="1">
      <c r="A15" s="832" t="s">
        <v>144</v>
      </c>
      <c r="B15" s="895">
        <v>1.4597</v>
      </c>
      <c r="C15" s="835">
        <v>7</v>
      </c>
      <c r="D15" s="896">
        <v>3.3197000000000001</v>
      </c>
      <c r="E15" s="837">
        <v>16.5</v>
      </c>
      <c r="G15" s="889"/>
      <c r="I15" s="889"/>
    </row>
    <row r="16" spans="1:9" s="42" customFormat="1" ht="24.95" customHeight="1">
      <c r="A16" s="832" t="s">
        <v>145</v>
      </c>
      <c r="B16" s="895">
        <v>0.71509999999999996</v>
      </c>
      <c r="C16" s="835">
        <v>-18.899999999999999</v>
      </c>
      <c r="D16" s="896">
        <v>5.0048000000000004</v>
      </c>
      <c r="E16" s="837">
        <v>24.3</v>
      </c>
      <c r="F16" s="898"/>
      <c r="G16" s="899"/>
      <c r="I16" s="889"/>
    </row>
    <row r="17" spans="1:9" s="42" customFormat="1" ht="24.95" customHeight="1">
      <c r="A17" s="832" t="s">
        <v>146</v>
      </c>
      <c r="B17" s="895">
        <v>0.50349999999999995</v>
      </c>
      <c r="C17" s="835">
        <v>-18.8</v>
      </c>
      <c r="D17" s="896">
        <v>1.1369</v>
      </c>
      <c r="E17" s="837">
        <v>-8.9</v>
      </c>
      <c r="F17" s="898"/>
      <c r="G17" s="889"/>
      <c r="I17" s="889"/>
    </row>
    <row r="18" spans="1:9" s="42" customFormat="1" ht="24.95" customHeight="1">
      <c r="A18" s="832" t="s">
        <v>147</v>
      </c>
      <c r="B18" s="895">
        <v>0.4229</v>
      </c>
      <c r="C18" s="835">
        <v>13.5</v>
      </c>
      <c r="D18" s="896">
        <v>0.7631</v>
      </c>
      <c r="E18" s="837">
        <v>17.600000000000001</v>
      </c>
      <c r="F18" s="898"/>
      <c r="G18" s="889"/>
      <c r="I18" s="889"/>
    </row>
    <row r="19" spans="1:9" s="42" customFormat="1" ht="24.95" customHeight="1">
      <c r="A19" s="832" t="s">
        <v>148</v>
      </c>
      <c r="B19" s="895">
        <v>1.5537000000000001</v>
      </c>
      <c r="C19" s="835">
        <v>11.1</v>
      </c>
      <c r="D19" s="896">
        <v>3.4857</v>
      </c>
      <c r="E19" s="837">
        <v>14.9</v>
      </c>
      <c r="G19" s="889"/>
      <c r="I19" s="889"/>
    </row>
    <row r="20" spans="1:9" s="42" customFormat="1" ht="24.95" customHeight="1">
      <c r="A20" s="832" t="s">
        <v>149</v>
      </c>
      <c r="B20" s="895">
        <v>2.0629</v>
      </c>
      <c r="C20" s="835">
        <v>-4.0999999999999996</v>
      </c>
      <c r="D20" s="896">
        <v>4.9801000000000002</v>
      </c>
      <c r="E20" s="837">
        <v>-11.7</v>
      </c>
      <c r="G20" s="889"/>
      <c r="I20" s="889"/>
    </row>
    <row r="21" spans="1:9" s="42" customFormat="1" ht="24.95" customHeight="1">
      <c r="A21" s="832" t="s">
        <v>150</v>
      </c>
      <c r="B21" s="895">
        <v>3.7212999999999998</v>
      </c>
      <c r="C21" s="835">
        <v>15.8</v>
      </c>
      <c r="D21" s="896">
        <v>8.1708999999999996</v>
      </c>
      <c r="E21" s="837">
        <v>10.1</v>
      </c>
      <c r="G21" s="889"/>
      <c r="I21" s="889"/>
    </row>
    <row r="22" spans="1:9" s="42" customFormat="1" ht="24.95" customHeight="1">
      <c r="A22" s="832" t="s">
        <v>151</v>
      </c>
      <c r="B22" s="895">
        <v>15.8095</v>
      </c>
      <c r="C22" s="835">
        <v>18</v>
      </c>
      <c r="D22" s="896">
        <v>24.414999999999999</v>
      </c>
      <c r="E22" s="837">
        <v>20.2</v>
      </c>
      <c r="G22" s="889"/>
      <c r="I22" s="889"/>
    </row>
    <row r="23" spans="1:9" s="42" customFormat="1" ht="24.95" customHeight="1">
      <c r="A23" s="900" t="s">
        <v>152</v>
      </c>
      <c r="B23" s="901">
        <v>0.62749999999999995</v>
      </c>
      <c r="C23" s="902">
        <v>-30.5</v>
      </c>
      <c r="D23" s="903">
        <v>1.974</v>
      </c>
      <c r="E23" s="904">
        <v>-9.4</v>
      </c>
      <c r="G23" s="889"/>
      <c r="I23" s="889"/>
    </row>
    <row r="24" spans="1:9" s="42" customFormat="1" ht="29.1" customHeight="1">
      <c r="A24" s="1077"/>
      <c r="B24" s="1077"/>
      <c r="C24" s="1077"/>
      <c r="D24" s="1077"/>
      <c r="E24" s="1077"/>
    </row>
    <row r="25" spans="1:9" s="42" customFormat="1"/>
    <row r="26" spans="1:9" s="42" customFormat="1"/>
    <row r="27" spans="1:9" s="42" customFormat="1"/>
    <row r="28" spans="1:9" s="42" customFormat="1"/>
    <row r="29" spans="1:9" s="42" customFormat="1"/>
    <row r="30" spans="1:9" s="42" customFormat="1"/>
    <row r="31" spans="1:9" s="42" customFormat="1"/>
    <row r="32" spans="1:9" s="42" customFormat="1"/>
    <row r="33" s="42" customFormat="1"/>
    <row r="34" s="42" customFormat="1"/>
    <row r="35" s="42" customFormat="1"/>
    <row r="36" s="42" customFormat="1"/>
    <row r="37" s="42" customFormat="1"/>
    <row r="38" s="42" customFormat="1"/>
    <row r="39" s="42" customFormat="1"/>
    <row r="40" s="42" customFormat="1"/>
    <row r="41" s="42" customFormat="1"/>
    <row r="42" s="42" customFormat="1"/>
    <row r="43" s="42" customFormat="1"/>
    <row r="44" s="42" customFormat="1"/>
    <row r="45" s="42" customFormat="1"/>
    <row r="46" s="42" customFormat="1"/>
    <row r="47" s="42" customFormat="1"/>
    <row r="48" s="42" customFormat="1"/>
    <row r="49" s="42" customFormat="1"/>
    <row r="50" s="42" customFormat="1"/>
    <row r="51" s="42" customFormat="1"/>
    <row r="52" s="42" customFormat="1"/>
    <row r="53" s="42" customFormat="1"/>
    <row r="54" s="42" customFormat="1"/>
    <row r="55" s="42" customFormat="1"/>
    <row r="56" s="42" customFormat="1"/>
    <row r="57" s="42" customFormat="1"/>
    <row r="58" s="42" customFormat="1"/>
    <row r="59" s="42" customFormat="1"/>
    <row r="60" s="42" customFormat="1"/>
    <row r="61" s="42" customFormat="1"/>
    <row r="62" s="42" customFormat="1"/>
    <row r="63" s="42" customFormat="1"/>
    <row r="64" s="42" customFormat="1"/>
    <row r="65" s="42" customFormat="1"/>
    <row r="66" s="42" customFormat="1"/>
    <row r="67" s="42" customFormat="1"/>
    <row r="68" s="42" customFormat="1"/>
    <row r="69" s="42" customFormat="1"/>
    <row r="70" s="42" customFormat="1"/>
    <row r="71" s="42" customFormat="1"/>
    <row r="72" s="42" customFormat="1"/>
    <row r="73" s="42" customFormat="1"/>
    <row r="74" s="42" customFormat="1"/>
    <row r="75" s="42" customFormat="1"/>
    <row r="76" s="42" customFormat="1"/>
    <row r="77" s="42" customFormat="1"/>
    <row r="78" s="42" customFormat="1"/>
    <row r="79" s="42" customFormat="1"/>
    <row r="80" s="42" customFormat="1"/>
    <row r="81" s="42" customFormat="1"/>
    <row r="82" s="42" customFormat="1"/>
    <row r="83" s="42" customFormat="1"/>
    <row r="84" s="42" customFormat="1"/>
    <row r="85" s="42" customFormat="1"/>
    <row r="86" s="42" customFormat="1"/>
    <row r="87" s="42" customFormat="1"/>
    <row r="88" s="42" customFormat="1"/>
    <row r="89" s="42" customFormat="1"/>
    <row r="90" s="42" customFormat="1"/>
    <row r="91" s="42" customFormat="1"/>
    <row r="92" s="42" customFormat="1"/>
    <row r="93" s="42" customFormat="1"/>
    <row r="94" s="42" customFormat="1"/>
    <row r="95" s="42" customFormat="1"/>
    <row r="96" s="42" customFormat="1"/>
    <row r="97" s="42" customFormat="1"/>
    <row r="98" s="42" customFormat="1"/>
    <row r="99" s="42" customFormat="1"/>
    <row r="100" s="42" customFormat="1"/>
    <row r="101" s="42" customFormat="1"/>
    <row r="102" s="42" customFormat="1"/>
    <row r="103" s="42" customFormat="1"/>
    <row r="104" s="42" customFormat="1"/>
    <row r="105" s="42" customFormat="1"/>
    <row r="106" s="42" customFormat="1"/>
    <row r="107" s="42" customFormat="1"/>
    <row r="108" s="42" customFormat="1"/>
    <row r="109" s="42" customFormat="1"/>
    <row r="110" s="42" customFormat="1"/>
    <row r="111" s="42" customFormat="1"/>
    <row r="112" s="42" customFormat="1"/>
    <row r="113" s="42" customFormat="1"/>
    <row r="114" s="42" customFormat="1"/>
    <row r="115" s="42" customFormat="1"/>
    <row r="116" s="42" customFormat="1"/>
    <row r="117" s="42" customFormat="1"/>
    <row r="118" s="42" customFormat="1"/>
    <row r="119" s="42" customFormat="1"/>
    <row r="120" s="42" customFormat="1"/>
    <row r="121" s="42" customFormat="1"/>
    <row r="122" s="42" customFormat="1"/>
    <row r="123" s="42" customFormat="1"/>
    <row r="124" s="42" customFormat="1"/>
    <row r="125" s="42" customFormat="1"/>
    <row r="126" s="42" customFormat="1"/>
    <row r="127" s="42" customFormat="1"/>
    <row r="128" s="42" customFormat="1"/>
    <row r="129" s="42" customFormat="1"/>
    <row r="130" s="42" customFormat="1"/>
    <row r="131" s="42" customFormat="1"/>
    <row r="132" s="42" customFormat="1"/>
    <row r="133" s="42" customFormat="1"/>
    <row r="134" s="42" customFormat="1"/>
    <row r="135" s="42" customFormat="1"/>
    <row r="136" s="42" customFormat="1"/>
    <row r="137" s="42" customFormat="1"/>
    <row r="138" s="42" customFormat="1"/>
    <row r="139" s="42" customFormat="1"/>
    <row r="140" s="42" customFormat="1"/>
    <row r="141" s="42" customFormat="1"/>
    <row r="142" s="42" customFormat="1"/>
    <row r="143" s="42" customFormat="1"/>
    <row r="144" s="42" customFormat="1"/>
    <row r="145" s="42" customFormat="1"/>
    <row r="146" s="42" customFormat="1"/>
    <row r="147" s="42" customFormat="1"/>
    <row r="148" s="42" customFormat="1"/>
    <row r="149" s="42" customFormat="1"/>
    <row r="150" s="42" customFormat="1"/>
    <row r="151" s="42" customFormat="1"/>
    <row r="152" s="42" customFormat="1"/>
    <row r="153" s="42" customFormat="1"/>
    <row r="154" s="42" customFormat="1"/>
    <row r="155" s="42" customFormat="1"/>
    <row r="156" s="42" customFormat="1"/>
    <row r="157" s="42" customFormat="1"/>
    <row r="158" s="42" customFormat="1"/>
    <row r="159" s="42" customFormat="1"/>
    <row r="160" s="42" customFormat="1"/>
    <row r="161" s="42" customFormat="1"/>
    <row r="162" s="42" customFormat="1"/>
    <row r="163" s="42" customFormat="1"/>
    <row r="164" s="42" customFormat="1"/>
    <row r="165" s="42" customFormat="1"/>
    <row r="166" s="42" customFormat="1"/>
    <row r="167" s="42" customFormat="1"/>
    <row r="168" s="42" customFormat="1"/>
    <row r="169" s="42" customFormat="1"/>
    <row r="170" s="42" customFormat="1"/>
    <row r="171" s="42" customFormat="1"/>
    <row r="172" s="42" customFormat="1"/>
    <row r="173" s="42" customFormat="1"/>
    <row r="174" s="42" customFormat="1"/>
    <row r="175" s="42" customFormat="1"/>
    <row r="176" s="42" customFormat="1"/>
    <row r="177" s="42" customFormat="1"/>
    <row r="178" s="42" customFormat="1"/>
    <row r="179" s="42" customFormat="1"/>
    <row r="180" s="42" customFormat="1"/>
    <row r="181" s="42" customFormat="1"/>
    <row r="182" s="42" customFormat="1"/>
    <row r="183" s="42" customFormat="1"/>
    <row r="184" s="42" customFormat="1"/>
    <row r="185" s="42" customFormat="1"/>
    <row r="186" s="42" customFormat="1"/>
    <row r="187" s="42" customFormat="1"/>
    <row r="188" s="42" customFormat="1"/>
    <row r="189" s="42" customFormat="1"/>
    <row r="190" s="42" customFormat="1"/>
    <row r="191" s="42" customFormat="1"/>
    <row r="192" s="42" customFormat="1"/>
    <row r="193" s="42" customFormat="1"/>
    <row r="194" s="42" customFormat="1"/>
    <row r="195" s="42" customFormat="1"/>
    <row r="196" s="42" customFormat="1"/>
    <row r="197" s="42" customFormat="1"/>
    <row r="198" s="42" customFormat="1"/>
    <row r="199" s="42" customFormat="1"/>
    <row r="200" s="42" customFormat="1"/>
    <row r="201" s="42" customFormat="1"/>
    <row r="202" s="42" customFormat="1"/>
    <row r="203" s="42" customFormat="1"/>
    <row r="204" s="42" customFormat="1"/>
    <row r="205" s="42" customFormat="1"/>
    <row r="206" s="42" customFormat="1"/>
    <row r="207" s="42" customFormat="1"/>
    <row r="208" s="42" customFormat="1"/>
    <row r="209" s="42" customFormat="1"/>
    <row r="210" s="42" customFormat="1"/>
    <row r="211" s="42" customFormat="1"/>
    <row r="212" s="42" customFormat="1"/>
    <row r="213" s="42" customFormat="1"/>
    <row r="214" s="42" customFormat="1"/>
    <row r="215" s="42" customFormat="1"/>
    <row r="216" s="42" customFormat="1"/>
    <row r="217" s="42" customFormat="1"/>
    <row r="218" s="42" customFormat="1"/>
    <row r="219" s="42" customFormat="1"/>
    <row r="220" s="42" customFormat="1"/>
    <row r="221" s="42" customFormat="1"/>
    <row r="222" s="42" customFormat="1"/>
    <row r="223" s="42" customFormat="1"/>
    <row r="224" s="42" customFormat="1"/>
    <row r="225" s="42" customFormat="1"/>
    <row r="226" s="42" customFormat="1"/>
    <row r="227" s="42" customFormat="1"/>
    <row r="228" s="42" customFormat="1"/>
    <row r="229" s="42" customFormat="1"/>
    <row r="230" s="42" customFormat="1"/>
    <row r="231" s="42" customFormat="1"/>
    <row r="232" s="42" customFormat="1"/>
    <row r="233" s="42" customFormat="1"/>
    <row r="234" s="42" customFormat="1"/>
    <row r="235" s="42" customFormat="1"/>
    <row r="236" s="42" customFormat="1"/>
    <row r="237" s="42" customFormat="1"/>
    <row r="238" s="42" customFormat="1"/>
    <row r="239" s="42" customFormat="1"/>
    <row r="240" s="42" customFormat="1"/>
    <row r="241" s="42" customFormat="1"/>
    <row r="242" s="42" customFormat="1"/>
    <row r="243" s="42" customFormat="1"/>
    <row r="244" s="42" customFormat="1"/>
    <row r="245" s="42" customFormat="1"/>
    <row r="246" s="42" customFormat="1"/>
    <row r="247" s="42" customFormat="1"/>
    <row r="248" s="42" customFormat="1"/>
    <row r="249" s="42" customFormat="1"/>
    <row r="250" s="42" customFormat="1"/>
    <row r="251" s="42" customFormat="1"/>
    <row r="252" s="42" customFormat="1"/>
    <row r="253" s="42" customFormat="1"/>
    <row r="254" s="42" customFormat="1"/>
    <row r="255" s="42" customFormat="1"/>
  </sheetData>
  <sheetProtection password="DC9E" sheet="1" objects="1" scenarios="1"/>
  <mergeCells count="3">
    <mergeCell ref="A1:E1"/>
    <mergeCell ref="D2:E2"/>
    <mergeCell ref="A24:E24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56</vt:i4>
      </vt:variant>
      <vt:variant>
        <vt:lpstr>命名范围</vt:lpstr>
      </vt:variant>
      <vt:variant>
        <vt:i4>18</vt:i4>
      </vt:variant>
    </vt:vector>
  </HeadingPairs>
  <TitlesOfParts>
    <vt:vector size="74" baseType="lpstr">
      <vt:lpstr>-------</vt:lpstr>
      <vt:lpstr>全市指标1</vt:lpstr>
      <vt:lpstr>全市指标2</vt:lpstr>
      <vt:lpstr>GDP</vt:lpstr>
      <vt:lpstr>农业</vt:lpstr>
      <vt:lpstr>工业1</vt:lpstr>
      <vt:lpstr>工业2</vt:lpstr>
      <vt:lpstr>工业经济效益</vt:lpstr>
      <vt:lpstr>分行业工业总产值1</vt:lpstr>
      <vt:lpstr>分行业工业总产值2</vt:lpstr>
      <vt:lpstr>主要工业产品产量1</vt:lpstr>
      <vt:lpstr>主要工业产品产量2 </vt:lpstr>
      <vt:lpstr>主要工业产品产量3</vt:lpstr>
      <vt:lpstr>工业综合能源消费量</vt:lpstr>
      <vt:lpstr>交通 </vt:lpstr>
      <vt:lpstr>投资</vt:lpstr>
      <vt:lpstr>国内贸易</vt:lpstr>
      <vt:lpstr>财税</vt:lpstr>
      <vt:lpstr>金融</vt:lpstr>
      <vt:lpstr>进出口</vt:lpstr>
      <vt:lpstr>居民收支</vt:lpstr>
      <vt:lpstr>消价</vt:lpstr>
      <vt:lpstr>分县1</vt:lpstr>
      <vt:lpstr>分县2</vt:lpstr>
      <vt:lpstr>分县3</vt:lpstr>
      <vt:lpstr>分县4</vt:lpstr>
      <vt:lpstr>分县5</vt:lpstr>
      <vt:lpstr>分县6</vt:lpstr>
      <vt:lpstr>分县7</vt:lpstr>
      <vt:lpstr>分县8</vt:lpstr>
      <vt:lpstr>分县9</vt:lpstr>
      <vt:lpstr>分县10</vt:lpstr>
      <vt:lpstr>分县11</vt:lpstr>
      <vt:lpstr>分县12</vt:lpstr>
      <vt:lpstr>分县13</vt:lpstr>
      <vt:lpstr>分县14</vt:lpstr>
      <vt:lpstr>分县15</vt:lpstr>
      <vt:lpstr>分县16</vt:lpstr>
      <vt:lpstr>分县17</vt:lpstr>
      <vt:lpstr>分县18</vt:lpstr>
      <vt:lpstr>分县19</vt:lpstr>
      <vt:lpstr>分市5（旧）</vt:lpstr>
      <vt:lpstr>工业序列（原）</vt:lpstr>
      <vt:lpstr>工业序列</vt:lpstr>
      <vt:lpstr>投资序列</vt:lpstr>
      <vt:lpstr>消费序列</vt:lpstr>
      <vt:lpstr>进出口序列</vt:lpstr>
      <vt:lpstr>预算收入序列</vt:lpstr>
      <vt:lpstr>价格指数序列</vt:lpstr>
      <vt:lpstr>用电量序列</vt:lpstr>
      <vt:lpstr>投资序列(原)</vt:lpstr>
      <vt:lpstr>消费序列（原）</vt:lpstr>
      <vt:lpstr>出口序列（原）</vt:lpstr>
      <vt:lpstr>地方预算收入序列（原）</vt:lpstr>
      <vt:lpstr>工业用电量序列 （原）</vt:lpstr>
      <vt:lpstr>价格序列（原）</vt:lpstr>
      <vt:lpstr>分县10!Print_Area</vt:lpstr>
      <vt:lpstr>分县11!Print_Area</vt:lpstr>
      <vt:lpstr>分县14!Print_Area</vt:lpstr>
      <vt:lpstr>分县15!Print_Area</vt:lpstr>
      <vt:lpstr>分县17!Print_Area</vt:lpstr>
      <vt:lpstr>分县18!Print_Area</vt:lpstr>
      <vt:lpstr>分县19!Print_Area</vt:lpstr>
      <vt:lpstr>分县2!Print_Area</vt:lpstr>
      <vt:lpstr>分县3!Print_Area</vt:lpstr>
      <vt:lpstr>分县6!Print_Area</vt:lpstr>
      <vt:lpstr>分县7!Print_Area</vt:lpstr>
      <vt:lpstr>分县8!Print_Area</vt:lpstr>
      <vt:lpstr>分县9!Print_Area</vt:lpstr>
      <vt:lpstr>工业1!Print_Area</vt:lpstr>
      <vt:lpstr>国内贸易!Print_Area</vt:lpstr>
      <vt:lpstr>居民收支!Print_Area</vt:lpstr>
      <vt:lpstr>投资!Print_Area</vt:lpstr>
      <vt:lpstr>消价!Print_Area</vt:lpstr>
    </vt:vector>
  </TitlesOfParts>
  <Company>yz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揭东</cp:lastModifiedBy>
  <cp:revision>1</cp:revision>
  <cp:lastPrinted>2016-10-14T02:19:00Z</cp:lastPrinted>
  <dcterms:created xsi:type="dcterms:W3CDTF">2006-03-05T01:13:00Z</dcterms:created>
  <dcterms:modified xsi:type="dcterms:W3CDTF">2019-04-03T09:22:59Z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eadingLayout">
    <vt:bool>false</vt:bool>
  </property>
</Properties>
</file>